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лот1!$A:$G</definedName>
    <definedName name="_xlnm.Print_Area" localSheetId="0">лот1!$A$1:$CO$36</definedName>
  </definedNames>
  <calcPr calcId="125725" calcMode="manual"/>
</workbook>
</file>

<file path=xl/calcChain.xml><?xml version="1.0" encoding="utf-8"?>
<calcChain xmlns="http://schemas.openxmlformats.org/spreadsheetml/2006/main">
  <c r="CO21" i="3"/>
  <c r="CO30"/>
  <c r="CO20"/>
  <c r="CO19"/>
  <c r="CO18"/>
  <c r="CO16"/>
  <c r="CO33"/>
  <c r="CO29"/>
  <c r="CO27"/>
  <c r="CO24"/>
  <c r="CO17"/>
  <c r="CO15"/>
  <c r="CO11"/>
  <c r="CO10"/>
  <c r="CO32"/>
  <c r="CO23"/>
  <c r="CO12"/>
  <c r="CO26"/>
  <c r="CO25"/>
  <c r="CO13"/>
  <c r="CN28"/>
  <c r="CN22"/>
  <c r="CN14"/>
  <c r="CN9"/>
  <c r="CO31"/>
  <c r="CO28" l="1"/>
  <c r="CO22"/>
  <c r="CO14"/>
  <c r="CO9"/>
  <c r="BS33"/>
  <c r="BT33"/>
  <c r="BU33"/>
  <c r="BV33"/>
  <c r="BW33"/>
  <c r="BX33"/>
  <c r="BY33"/>
  <c r="BZ33"/>
  <c r="CA33"/>
  <c r="CB33"/>
  <c r="CC33"/>
  <c r="CD33"/>
  <c r="CE33"/>
  <c r="CF33"/>
  <c r="BS32"/>
  <c r="BT32"/>
  <c r="BU32"/>
  <c r="BV32"/>
  <c r="BW32"/>
  <c r="BX32"/>
  <c r="BY32"/>
  <c r="BZ32"/>
  <c r="CA32"/>
  <c r="CB32"/>
  <c r="CC32"/>
  <c r="CD32"/>
  <c r="CE32"/>
  <c r="CF32"/>
  <c r="BS30"/>
  <c r="BT30"/>
  <c r="BU30"/>
  <c r="BV30"/>
  <c r="BW30"/>
  <c r="BX30"/>
  <c r="BY30"/>
  <c r="BZ30"/>
  <c r="CA30"/>
  <c r="CB30"/>
  <c r="CC30"/>
  <c r="CD30"/>
  <c r="CE30"/>
  <c r="CF30"/>
  <c r="BS29"/>
  <c r="BT29"/>
  <c r="BU29"/>
  <c r="BV29"/>
  <c r="BW29"/>
  <c r="BX29"/>
  <c r="BY29"/>
  <c r="BZ29"/>
  <c r="CA29"/>
  <c r="CB29"/>
  <c r="CC29"/>
  <c r="CD29"/>
  <c r="CE29"/>
  <c r="CF29"/>
  <c r="BS27"/>
  <c r="BT27"/>
  <c r="BU27"/>
  <c r="BV27"/>
  <c r="BW27"/>
  <c r="BX27"/>
  <c r="BY27"/>
  <c r="BZ27"/>
  <c r="CA27"/>
  <c r="CB27"/>
  <c r="CC27"/>
  <c r="CD27"/>
  <c r="CE27"/>
  <c r="CF27"/>
  <c r="BS26"/>
  <c r="BT26"/>
  <c r="BU26"/>
  <c r="BV26"/>
  <c r="BW26"/>
  <c r="BX26"/>
  <c r="BY26"/>
  <c r="BZ26"/>
  <c r="CA26"/>
  <c r="CB26"/>
  <c r="CC26"/>
  <c r="CD26"/>
  <c r="CE26"/>
  <c r="CF26"/>
  <c r="BS23"/>
  <c r="BT23"/>
  <c r="BU23"/>
  <c r="BV23"/>
  <c r="BW23"/>
  <c r="BX23"/>
  <c r="BY23"/>
  <c r="BZ23"/>
  <c r="CA23"/>
  <c r="CB23"/>
  <c r="CC23"/>
  <c r="CD23"/>
  <c r="CE23"/>
  <c r="CF23"/>
  <c r="BS20"/>
  <c r="BT20"/>
  <c r="BU20"/>
  <c r="BV20"/>
  <c r="BW20"/>
  <c r="BX20"/>
  <c r="BY20"/>
  <c r="BZ20"/>
  <c r="CA20"/>
  <c r="CB20"/>
  <c r="CC20"/>
  <c r="CD20"/>
  <c r="CE20"/>
  <c r="CF20"/>
  <c r="BS19"/>
  <c r="BT19"/>
  <c r="BU19"/>
  <c r="BV19"/>
  <c r="BW19"/>
  <c r="BX19"/>
  <c r="BY19"/>
  <c r="BZ19"/>
  <c r="CA19"/>
  <c r="CB19"/>
  <c r="CC19"/>
  <c r="CD19"/>
  <c r="CE19"/>
  <c r="CF19"/>
  <c r="BS18"/>
  <c r="BT18"/>
  <c r="BU18"/>
  <c r="BV18"/>
  <c r="BW18"/>
  <c r="BX18"/>
  <c r="BY18"/>
  <c r="BZ18"/>
  <c r="CA18"/>
  <c r="CB18"/>
  <c r="CC18"/>
  <c r="CD18"/>
  <c r="CE18"/>
  <c r="CF18"/>
  <c r="BS17"/>
  <c r="BT17"/>
  <c r="BU17"/>
  <c r="BV17"/>
  <c r="BW17"/>
  <c r="BX17"/>
  <c r="BY17"/>
  <c r="BZ17"/>
  <c r="CA17"/>
  <c r="CB17"/>
  <c r="CC17"/>
  <c r="CD17"/>
  <c r="CE17"/>
  <c r="CF17"/>
  <c r="BS16"/>
  <c r="BT16"/>
  <c r="BU16"/>
  <c r="BV16"/>
  <c r="BW16"/>
  <c r="BX16"/>
  <c r="BY16"/>
  <c r="BZ16"/>
  <c r="CA16"/>
  <c r="CB16"/>
  <c r="CC16"/>
  <c r="CD16"/>
  <c r="CE16"/>
  <c r="CF16"/>
  <c r="BS15"/>
  <c r="BT15"/>
  <c r="BU15"/>
  <c r="BV15"/>
  <c r="BW15"/>
  <c r="BX15"/>
  <c r="BY15"/>
  <c r="BZ15"/>
  <c r="CA15"/>
  <c r="CB15"/>
  <c r="CC15"/>
  <c r="CD15"/>
  <c r="CE15"/>
  <c r="CF15"/>
  <c r="BR33"/>
  <c r="BR32"/>
  <c r="BS31"/>
  <c r="BT31"/>
  <c r="BU31"/>
  <c r="BV31"/>
  <c r="BW31"/>
  <c r="BX31"/>
  <c r="BY31"/>
  <c r="BZ31"/>
  <c r="CA31"/>
  <c r="CB31"/>
  <c r="CC31"/>
  <c r="CD31"/>
  <c r="CE31"/>
  <c r="CF31"/>
  <c r="BR31"/>
  <c r="BR30"/>
  <c r="BR29"/>
  <c r="BR27"/>
  <c r="BR23"/>
  <c r="BS21"/>
  <c r="BS14" s="1"/>
  <c r="BT21"/>
  <c r="BU21"/>
  <c r="BV21"/>
  <c r="BW21"/>
  <c r="BW14" s="1"/>
  <c r="BX21"/>
  <c r="BY21"/>
  <c r="BZ21"/>
  <c r="CA21"/>
  <c r="CA14" s="1"/>
  <c r="CB21"/>
  <c r="CC21"/>
  <c r="CD21"/>
  <c r="CE21"/>
  <c r="CE14" s="1"/>
  <c r="CF21"/>
  <c r="BR18"/>
  <c r="BR17"/>
  <c r="BR16"/>
  <c r="BR15"/>
  <c r="BG33"/>
  <c r="BH33"/>
  <c r="BI33"/>
  <c r="BJ33"/>
  <c r="BK33"/>
  <c r="BL33"/>
  <c r="BM33"/>
  <c r="BN33"/>
  <c r="BO33"/>
  <c r="BF33"/>
  <c r="BG32"/>
  <c r="BH32"/>
  <c r="BI32"/>
  <c r="BJ32"/>
  <c r="BK32"/>
  <c r="BL32"/>
  <c r="BM32"/>
  <c r="BN32"/>
  <c r="BO32"/>
  <c r="BF32"/>
  <c r="BG31"/>
  <c r="BH31"/>
  <c r="BI31"/>
  <c r="BJ31"/>
  <c r="BK31"/>
  <c r="BL31"/>
  <c r="BM31"/>
  <c r="BN31"/>
  <c r="BO31"/>
  <c r="BF31"/>
  <c r="BG30"/>
  <c r="BH30"/>
  <c r="BI30"/>
  <c r="BJ30"/>
  <c r="BK30"/>
  <c r="BL30"/>
  <c r="BM30"/>
  <c r="BN30"/>
  <c r="BO30"/>
  <c r="BF30"/>
  <c r="BG29"/>
  <c r="BH29"/>
  <c r="BI29"/>
  <c r="BJ29"/>
  <c r="BK29"/>
  <c r="BL29"/>
  <c r="BM29"/>
  <c r="BN29"/>
  <c r="BO29"/>
  <c r="BF29"/>
  <c r="BG27"/>
  <c r="BH27"/>
  <c r="BI27"/>
  <c r="BJ27"/>
  <c r="BK27"/>
  <c r="BL27"/>
  <c r="BM27"/>
  <c r="BN27"/>
  <c r="BO27"/>
  <c r="BF27"/>
  <c r="BG26"/>
  <c r="BH26"/>
  <c r="BI26"/>
  <c r="BJ26"/>
  <c r="BK26"/>
  <c r="BL26"/>
  <c r="BM26"/>
  <c r="BN26"/>
  <c r="BO26"/>
  <c r="BG23"/>
  <c r="BH23"/>
  <c r="BI23"/>
  <c r="BJ23"/>
  <c r="BK23"/>
  <c r="BL23"/>
  <c r="BM23"/>
  <c r="BN23"/>
  <c r="BO23"/>
  <c r="BG21"/>
  <c r="BH21"/>
  <c r="BI21"/>
  <c r="BJ21"/>
  <c r="BK21"/>
  <c r="BL21"/>
  <c r="BM21"/>
  <c r="BN21"/>
  <c r="BO21"/>
  <c r="BF21"/>
  <c r="BG20"/>
  <c r="BH20"/>
  <c r="BI20"/>
  <c r="BJ20"/>
  <c r="BK20"/>
  <c r="BL20"/>
  <c r="BM20"/>
  <c r="BN20"/>
  <c r="BO20"/>
  <c r="BF20"/>
  <c r="BG19"/>
  <c r="BH19"/>
  <c r="BI19"/>
  <c r="BJ19"/>
  <c r="BK19"/>
  <c r="BL19"/>
  <c r="BM19"/>
  <c r="BN19"/>
  <c r="BO19"/>
  <c r="BG18"/>
  <c r="BH18"/>
  <c r="BI18"/>
  <c r="BJ18"/>
  <c r="BK18"/>
  <c r="BL18"/>
  <c r="BM18"/>
  <c r="BN18"/>
  <c r="BO18"/>
  <c r="BF18"/>
  <c r="BG17"/>
  <c r="BH17"/>
  <c r="BI17"/>
  <c r="BJ17"/>
  <c r="BK17"/>
  <c r="BL17"/>
  <c r="BM17"/>
  <c r="BN17"/>
  <c r="BO17"/>
  <c r="BF17"/>
  <c r="BG16"/>
  <c r="BH16"/>
  <c r="BI16"/>
  <c r="BJ16"/>
  <c r="BK16"/>
  <c r="BL16"/>
  <c r="BM16"/>
  <c r="BN16"/>
  <c r="BO16"/>
  <c r="BF16"/>
  <c r="BG15"/>
  <c r="BH15"/>
  <c r="BI15"/>
  <c r="BJ15"/>
  <c r="BK15"/>
  <c r="BL15"/>
  <c r="BM15"/>
  <c r="BN15"/>
  <c r="BO15"/>
  <c r="BF15"/>
  <c r="BC31"/>
  <c r="BC32"/>
  <c r="BC29"/>
  <c r="BC27"/>
  <c r="AN23"/>
  <c r="AO23"/>
  <c r="AP23"/>
  <c r="AQ23"/>
  <c r="AR23"/>
  <c r="AS23"/>
  <c r="AT23"/>
  <c r="AU23"/>
  <c r="AV23"/>
  <c r="AW23"/>
  <c r="AX23"/>
  <c r="AY23"/>
  <c r="AZ23"/>
  <c r="AM23"/>
  <c r="AN33"/>
  <c r="AO33"/>
  <c r="AP33"/>
  <c r="AQ33"/>
  <c r="AR33"/>
  <c r="AS33"/>
  <c r="AT33"/>
  <c r="AU33"/>
  <c r="AV33"/>
  <c r="AW33"/>
  <c r="AX33"/>
  <c r="AY33"/>
  <c r="AZ33"/>
  <c r="AM33"/>
  <c r="AN32"/>
  <c r="AO32"/>
  <c r="AP32"/>
  <c r="AQ32"/>
  <c r="AR32"/>
  <c r="AS32"/>
  <c r="AT32"/>
  <c r="AU32"/>
  <c r="AV32"/>
  <c r="AW32"/>
  <c r="AX32"/>
  <c r="AY32"/>
  <c r="AZ32"/>
  <c r="AM32"/>
  <c r="AN31"/>
  <c r="AO31"/>
  <c r="AP31"/>
  <c r="AQ31"/>
  <c r="AR31"/>
  <c r="AS31"/>
  <c r="AT31"/>
  <c r="AU31"/>
  <c r="AV31"/>
  <c r="AW31"/>
  <c r="AX31"/>
  <c r="AY31"/>
  <c r="AZ31"/>
  <c r="AM31"/>
  <c r="AN30"/>
  <c r="AO30"/>
  <c r="AP30"/>
  <c r="AQ30"/>
  <c r="AR30"/>
  <c r="AS30"/>
  <c r="AT30"/>
  <c r="AU30"/>
  <c r="AV30"/>
  <c r="AW30"/>
  <c r="AX30"/>
  <c r="AY30"/>
  <c r="AZ30"/>
  <c r="AM30"/>
  <c r="AN29"/>
  <c r="AO29"/>
  <c r="AP29"/>
  <c r="AQ29"/>
  <c r="AR29"/>
  <c r="AS29"/>
  <c r="AT29"/>
  <c r="AU29"/>
  <c r="AV29"/>
  <c r="AW29"/>
  <c r="AW28" s="1"/>
  <c r="AX29"/>
  <c r="AY29"/>
  <c r="AZ29"/>
  <c r="AM29"/>
  <c r="AN27"/>
  <c r="AO27"/>
  <c r="AP27"/>
  <c r="AQ27"/>
  <c r="AR27"/>
  <c r="AS27"/>
  <c r="AT27"/>
  <c r="AU27"/>
  <c r="AV27"/>
  <c r="AW27"/>
  <c r="AX27"/>
  <c r="AY27"/>
  <c r="AZ27"/>
  <c r="AM27"/>
  <c r="AN26"/>
  <c r="AO26"/>
  <c r="AP26"/>
  <c r="AQ26"/>
  <c r="AR26"/>
  <c r="AS26"/>
  <c r="AT26"/>
  <c r="AU26"/>
  <c r="AV26"/>
  <c r="AW26"/>
  <c r="AX26"/>
  <c r="AY26"/>
  <c r="AZ26"/>
  <c r="AN21"/>
  <c r="AO21"/>
  <c r="AP21"/>
  <c r="AQ21"/>
  <c r="AR21"/>
  <c r="AS21"/>
  <c r="AT21"/>
  <c r="AU21"/>
  <c r="AV21"/>
  <c r="AW21"/>
  <c r="AX21"/>
  <c r="AY21"/>
  <c r="AZ21"/>
  <c r="AM21"/>
  <c r="AN20"/>
  <c r="AO20"/>
  <c r="AP20"/>
  <c r="AQ20"/>
  <c r="AR20"/>
  <c r="AS20"/>
  <c r="AT20"/>
  <c r="AU20"/>
  <c r="AV20"/>
  <c r="AW20"/>
  <c r="AX20"/>
  <c r="AY20"/>
  <c r="AZ20"/>
  <c r="AM20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N19"/>
  <c r="AO19"/>
  <c r="AP19"/>
  <c r="AQ19"/>
  <c r="AR19"/>
  <c r="AS19"/>
  <c r="AT19"/>
  <c r="AU19"/>
  <c r="AV19"/>
  <c r="AW19"/>
  <c r="AX19"/>
  <c r="AY19"/>
  <c r="AZ19"/>
  <c r="AN18"/>
  <c r="AO18"/>
  <c r="AP18"/>
  <c r="AQ18"/>
  <c r="AR18"/>
  <c r="AS18"/>
  <c r="AT18"/>
  <c r="AU18"/>
  <c r="AV18"/>
  <c r="AW18"/>
  <c r="AX18"/>
  <c r="AY18"/>
  <c r="AZ18"/>
  <c r="AM18"/>
  <c r="AN17"/>
  <c r="AO17"/>
  <c r="AP17"/>
  <c r="AQ17"/>
  <c r="AR17"/>
  <c r="AS17"/>
  <c r="AT17"/>
  <c r="AU17"/>
  <c r="AV17"/>
  <c r="AW17"/>
  <c r="AX17"/>
  <c r="AY17"/>
  <c r="AZ17"/>
  <c r="AM17"/>
  <c r="AN16"/>
  <c r="AO16"/>
  <c r="AP16"/>
  <c r="AQ16"/>
  <c r="AR16"/>
  <c r="AS16"/>
  <c r="AT16"/>
  <c r="AU16"/>
  <c r="AV16"/>
  <c r="AW16"/>
  <c r="AX16"/>
  <c r="AY16"/>
  <c r="AZ16"/>
  <c r="AM16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J30"/>
  <c r="K30"/>
  <c r="L30"/>
  <c r="M30"/>
  <c r="N30"/>
  <c r="O30"/>
  <c r="O28" s="1"/>
  <c r="P30"/>
  <c r="Q30"/>
  <c r="Q28" s="1"/>
  <c r="R30"/>
  <c r="S30"/>
  <c r="S28" s="1"/>
  <c r="T30"/>
  <c r="U30"/>
  <c r="U28" s="1"/>
  <c r="V30"/>
  <c r="W30"/>
  <c r="X30"/>
  <c r="Y30"/>
  <c r="Z30"/>
  <c r="AA30"/>
  <c r="AB30"/>
  <c r="AC30"/>
  <c r="AD30"/>
  <c r="AE30"/>
  <c r="AF30"/>
  <c r="AG30"/>
  <c r="AH30"/>
  <c r="AI30"/>
  <c r="AJ30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N15"/>
  <c r="AO15"/>
  <c r="AP15"/>
  <c r="AQ15"/>
  <c r="AR15"/>
  <c r="AS15"/>
  <c r="AT15"/>
  <c r="AU15"/>
  <c r="AV15"/>
  <c r="AW15"/>
  <c r="AX15"/>
  <c r="AY15"/>
  <c r="AZ15"/>
  <c r="AM15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CE28"/>
  <c r="CC28"/>
  <c r="CA28"/>
  <c r="BY28"/>
  <c r="BW28"/>
  <c r="BU28"/>
  <c r="BS28"/>
  <c r="CD28"/>
  <c r="BZ28"/>
  <c r="BV28"/>
  <c r="BR28"/>
  <c r="BR26"/>
  <c r="CF25"/>
  <c r="CE25"/>
  <c r="CD25"/>
  <c r="CC25"/>
  <c r="CB25"/>
  <c r="CA25"/>
  <c r="BZ25"/>
  <c r="BY25"/>
  <c r="BX25"/>
  <c r="BX22" s="1"/>
  <c r="BW25"/>
  <c r="BV25"/>
  <c r="BV22" s="1"/>
  <c r="BU25"/>
  <c r="BT25"/>
  <c r="BS25"/>
  <c r="BR25"/>
  <c r="BR22" s="1"/>
  <c r="CF24"/>
  <c r="CE24"/>
  <c r="CD24"/>
  <c r="CC24"/>
  <c r="CB24"/>
  <c r="CA24"/>
  <c r="BZ24"/>
  <c r="BY24"/>
  <c r="BX24"/>
  <c r="BW24"/>
  <c r="BV24"/>
  <c r="BU24"/>
  <c r="BT24"/>
  <c r="BS24"/>
  <c r="BR24"/>
  <c r="CF22"/>
  <c r="CD22"/>
  <c r="BR21"/>
  <c r="BR20"/>
  <c r="BR19"/>
  <c r="CC14"/>
  <c r="BY14"/>
  <c r="BU14"/>
  <c r="CF14"/>
  <c r="CB14"/>
  <c r="BX14"/>
  <c r="BT14"/>
  <c r="CF9"/>
  <c r="CE9"/>
  <c r="CD9"/>
  <c r="CC9"/>
  <c r="CB9"/>
  <c r="BZ9"/>
  <c r="BY9"/>
  <c r="BX9"/>
  <c r="BW9"/>
  <c r="BV9"/>
  <c r="BU9"/>
  <c r="BT9"/>
  <c r="BR9"/>
  <c r="AU25"/>
  <c r="AT25"/>
  <c r="AS25"/>
  <c r="AR25"/>
  <c r="AU24"/>
  <c r="AT24"/>
  <c r="AS24"/>
  <c r="AR24"/>
  <c r="AU9"/>
  <c r="AT9"/>
  <c r="AS9"/>
  <c r="AX28"/>
  <c r="AX25"/>
  <c r="AW25"/>
  <c r="AV25"/>
  <c r="AX24"/>
  <c r="AW24"/>
  <c r="AV24"/>
  <c r="AW14"/>
  <c r="AV14"/>
  <c r="AX9"/>
  <c r="AW9"/>
  <c r="AY25"/>
  <c r="AQ25"/>
  <c r="AY24"/>
  <c r="AQ24"/>
  <c r="AY22"/>
  <c r="AY14"/>
  <c r="AQ9"/>
  <c r="AZ25"/>
  <c r="AZ24"/>
  <c r="AZ14"/>
  <c r="AZ9"/>
  <c r="AM26"/>
  <c r="AP25"/>
  <c r="AO25"/>
  <c r="AN25"/>
  <c r="AM25"/>
  <c r="AP24"/>
  <c r="AO24"/>
  <c r="AN24"/>
  <c r="AM24"/>
  <c r="AM22" s="1"/>
  <c r="AM19"/>
  <c r="AP9"/>
  <c r="AO9"/>
  <c r="AN9"/>
  <c r="AI28"/>
  <c r="AG28"/>
  <c r="AJ25"/>
  <c r="AI25"/>
  <c r="AH25"/>
  <c r="AG25"/>
  <c r="AJ24"/>
  <c r="AI24"/>
  <c r="AI22" s="1"/>
  <c r="AH24"/>
  <c r="AG24"/>
  <c r="AG22" s="1"/>
  <c r="AI14"/>
  <c r="AG14"/>
  <c r="AJ9"/>
  <c r="AI9"/>
  <c r="AH9"/>
  <c r="AG9"/>
  <c r="AE28"/>
  <c r="AC28"/>
  <c r="AF25"/>
  <c r="AE25"/>
  <c r="AD25"/>
  <c r="AC25"/>
  <c r="AF24"/>
  <c r="AE24"/>
  <c r="AE22" s="1"/>
  <c r="AD24"/>
  <c r="AC24"/>
  <c r="AC22"/>
  <c r="AE14"/>
  <c r="AC14"/>
  <c r="AC34" s="1"/>
  <c r="AC36" s="1"/>
  <c r="T28"/>
  <c r="U25"/>
  <c r="T25"/>
  <c r="U24"/>
  <c r="T24"/>
  <c r="T22"/>
  <c r="U14"/>
  <c r="U9"/>
  <c r="T9"/>
  <c r="R28"/>
  <c r="P28"/>
  <c r="S25"/>
  <c r="R25"/>
  <c r="Q25"/>
  <c r="P25"/>
  <c r="S24"/>
  <c r="R24"/>
  <c r="Q24"/>
  <c r="P24"/>
  <c r="R22"/>
  <c r="P22"/>
  <c r="R14"/>
  <c r="R34" s="1"/>
  <c r="R36" s="1"/>
  <c r="P14"/>
  <c r="P34" s="1"/>
  <c r="P36" s="1"/>
  <c r="S9"/>
  <c r="R9"/>
  <c r="Q9"/>
  <c r="P9"/>
  <c r="N28"/>
  <c r="O25"/>
  <c r="N25"/>
  <c r="O24"/>
  <c r="N24"/>
  <c r="N22" s="1"/>
  <c r="N14"/>
  <c r="O9"/>
  <c r="N9"/>
  <c r="L25"/>
  <c r="L24"/>
  <c r="L9"/>
  <c r="AE34" l="1"/>
  <c r="AE36" s="1"/>
  <c r="AI34"/>
  <c r="AI36" s="1"/>
  <c r="AJ14"/>
  <c r="AH14"/>
  <c r="AF14"/>
  <c r="AD14"/>
  <c r="T14"/>
  <c r="T34" s="1"/>
  <c r="T36" s="1"/>
  <c r="AQ14"/>
  <c r="AZ28"/>
  <c r="AV28"/>
  <c r="N34"/>
  <c r="N36" s="1"/>
  <c r="AG34"/>
  <c r="AG36" s="1"/>
  <c r="S14"/>
  <c r="S34" s="1"/>
  <c r="S36" s="1"/>
  <c r="Q14"/>
  <c r="O14"/>
  <c r="O34" s="1"/>
  <c r="O36" s="1"/>
  <c r="AX14"/>
  <c r="U22"/>
  <c r="S22"/>
  <c r="Q22"/>
  <c r="O22"/>
  <c r="AJ22"/>
  <c r="AH22"/>
  <c r="AF22"/>
  <c r="AD22"/>
  <c r="AJ28"/>
  <c r="AH28"/>
  <c r="AF28"/>
  <c r="AD28"/>
  <c r="AQ28"/>
  <c r="AQ22"/>
  <c r="AO22"/>
  <c r="BR14"/>
  <c r="CD14"/>
  <c r="CD34" s="1"/>
  <c r="CD36" s="1"/>
  <c r="BZ14"/>
  <c r="BV14"/>
  <c r="BV34" s="1"/>
  <c r="BV36" s="1"/>
  <c r="CB22"/>
  <c r="BZ22"/>
  <c r="BT22"/>
  <c r="CF28"/>
  <c r="CB28"/>
  <c r="BX28"/>
  <c r="BT28"/>
  <c r="BR34"/>
  <c r="BR36" s="1"/>
  <c r="U34"/>
  <c r="U36" s="1"/>
  <c r="CO34"/>
  <c r="CO36" s="1"/>
  <c r="AZ22"/>
  <c r="AZ34" s="1"/>
  <c r="AZ36" s="1"/>
  <c r="AV22"/>
  <c r="AX22"/>
  <c r="AW22"/>
  <c r="BS22"/>
  <c r="AV34"/>
  <c r="AV36" s="1"/>
  <c r="AX34"/>
  <c r="AX36" s="1"/>
  <c r="AW34"/>
  <c r="AW36" s="1"/>
  <c r="BT34"/>
  <c r="BT36" s="1"/>
  <c r="BX34"/>
  <c r="BX36" s="1"/>
  <c r="CB34"/>
  <c r="CB36" s="1"/>
  <c r="CF34"/>
  <c r="CF36" s="1"/>
  <c r="BS34"/>
  <c r="BS36" s="1"/>
  <c r="BU22"/>
  <c r="BW22"/>
  <c r="BU34"/>
  <c r="BU36" s="1"/>
  <c r="BW34"/>
  <c r="BW36" s="1"/>
  <c r="BY22"/>
  <c r="CA22"/>
  <c r="CC22"/>
  <c r="CE22"/>
  <c r="BY34"/>
  <c r="BY36" s="1"/>
  <c r="CA34"/>
  <c r="CA36" s="1"/>
  <c r="CC34"/>
  <c r="CC36" s="1"/>
  <c r="CE34"/>
  <c r="CE36" s="1"/>
  <c r="AR22"/>
  <c r="AS14"/>
  <c r="AU14"/>
  <c r="AR14"/>
  <c r="AT14"/>
  <c r="AS28"/>
  <c r="AU28"/>
  <c r="AR28"/>
  <c r="AT28"/>
  <c r="AS22"/>
  <c r="AU22"/>
  <c r="AU34" s="1"/>
  <c r="AU36" s="1"/>
  <c r="AT22"/>
  <c r="AT34" s="1"/>
  <c r="AT36" s="1"/>
  <c r="AQ34"/>
  <c r="AQ36" s="1"/>
  <c r="AP14"/>
  <c r="AN22"/>
  <c r="AP22"/>
  <c r="AP28"/>
  <c r="AN14"/>
  <c r="AN28"/>
  <c r="AM14"/>
  <c r="AO14"/>
  <c r="AM28"/>
  <c r="AO28"/>
  <c r="AY28"/>
  <c r="AY34" s="1"/>
  <c r="AY36" s="1"/>
  <c r="L22"/>
  <c r="L14"/>
  <c r="L28"/>
  <c r="BO25"/>
  <c r="BN25"/>
  <c r="BM25"/>
  <c r="BL25"/>
  <c r="BO24"/>
  <c r="BN24"/>
  <c r="BM24"/>
  <c r="BL24"/>
  <c r="BK28"/>
  <c r="BJ28"/>
  <c r="BI28"/>
  <c r="BH28"/>
  <c r="BK25"/>
  <c r="BJ25"/>
  <c r="BI25"/>
  <c r="BH25"/>
  <c r="BK24"/>
  <c r="BJ24"/>
  <c r="BI24"/>
  <c r="BI22" s="1"/>
  <c r="BH24"/>
  <c r="BH22"/>
  <c r="BK22"/>
  <c r="BJ22"/>
  <c r="BK14"/>
  <c r="BK34" s="1"/>
  <c r="BK36" s="1"/>
  <c r="BJ14"/>
  <c r="BJ34" s="1"/>
  <c r="BJ36" s="1"/>
  <c r="BI14"/>
  <c r="BH14"/>
  <c r="BF28"/>
  <c r="BG28"/>
  <c r="BF26"/>
  <c r="BG25"/>
  <c r="BF25"/>
  <c r="BG24"/>
  <c r="BF24"/>
  <c r="BG22"/>
  <c r="BF23"/>
  <c r="BF22" s="1"/>
  <c r="BF19"/>
  <c r="BG14"/>
  <c r="BF14"/>
  <c r="AB25"/>
  <c r="AB24"/>
  <c r="AF34" l="1"/>
  <c r="AF36" s="1"/>
  <c r="AJ34"/>
  <c r="AJ36" s="1"/>
  <c r="BZ34"/>
  <c r="BZ36" s="1"/>
  <c r="Q34"/>
  <c r="Q36" s="1"/>
  <c r="AD34"/>
  <c r="AD36" s="1"/>
  <c r="AH34"/>
  <c r="AH36" s="1"/>
  <c r="BI34"/>
  <c r="BI36" s="1"/>
  <c r="BH34"/>
  <c r="BH36" s="1"/>
  <c r="AM34"/>
  <c r="AM36" s="1"/>
  <c r="AR34"/>
  <c r="AR36" s="1"/>
  <c r="AS34"/>
  <c r="AS36" s="1"/>
  <c r="BL28"/>
  <c r="BN28"/>
  <c r="AP34"/>
  <c r="AP36" s="1"/>
  <c r="BL22"/>
  <c r="BN22"/>
  <c r="BO28"/>
  <c r="BM22"/>
  <c r="BO22"/>
  <c r="BM28"/>
  <c r="AN34"/>
  <c r="AN36" s="1"/>
  <c r="BL14"/>
  <c r="BL34" s="1"/>
  <c r="BL36" s="1"/>
  <c r="BN14"/>
  <c r="BM14"/>
  <c r="BO14"/>
  <c r="BO34" s="1"/>
  <c r="BO36" s="1"/>
  <c r="BM34"/>
  <c r="BM36" s="1"/>
  <c r="AO34"/>
  <c r="AO36" s="1"/>
  <c r="L34"/>
  <c r="L36" s="1"/>
  <c r="BF34"/>
  <c r="BF36" s="1"/>
  <c r="AB14"/>
  <c r="AB22"/>
  <c r="AB28"/>
  <c r="BG34"/>
  <c r="BG36" s="1"/>
  <c r="BC33"/>
  <c r="BC30"/>
  <c r="BC18"/>
  <c r="BC17"/>
  <c r="BC16"/>
  <c r="BC15"/>
  <c r="BC26"/>
  <c r="BC25"/>
  <c r="BC24"/>
  <c r="BC23"/>
  <c r="BC21"/>
  <c r="BC20"/>
  <c r="BC19"/>
  <c r="V25"/>
  <c r="W25"/>
  <c r="X25"/>
  <c r="Y25"/>
  <c r="Z25"/>
  <c r="AA25"/>
  <c r="V24"/>
  <c r="W24"/>
  <c r="X24"/>
  <c r="Y24"/>
  <c r="Z24"/>
  <c r="AA24"/>
  <c r="M25"/>
  <c r="M24"/>
  <c r="M9"/>
  <c r="K9"/>
  <c r="J9"/>
  <c r="J25"/>
  <c r="K25"/>
  <c r="J24"/>
  <c r="K24"/>
  <c r="I33"/>
  <c r="I32"/>
  <c r="I31"/>
  <c r="I30"/>
  <c r="I29"/>
  <c r="I27"/>
  <c r="I26"/>
  <c r="I25"/>
  <c r="I24"/>
  <c r="I23"/>
  <c r="I21"/>
  <c r="I20"/>
  <c r="I19"/>
  <c r="I18"/>
  <c r="I17"/>
  <c r="I16"/>
  <c r="I15"/>
  <c r="I9"/>
  <c r="BN34" l="1"/>
  <c r="BN36" s="1"/>
  <c r="AB34"/>
  <c r="AB36" s="1"/>
  <c r="Z14"/>
  <c r="AA22"/>
  <c r="BC28"/>
  <c r="M14"/>
  <c r="M28"/>
  <c r="BC14"/>
  <c r="Y22"/>
  <c r="V22"/>
  <c r="BC22"/>
  <c r="Z28"/>
  <c r="X28"/>
  <c r="W28"/>
  <c r="AA14"/>
  <c r="Y14"/>
  <c r="V14"/>
  <c r="Z22"/>
  <c r="X22"/>
  <c r="W22"/>
  <c r="AA28"/>
  <c r="Y28"/>
  <c r="V28"/>
  <c r="K14"/>
  <c r="M22"/>
  <c r="X14"/>
  <c r="W14"/>
  <c r="J22"/>
  <c r="K28"/>
  <c r="J14"/>
  <c r="K22"/>
  <c r="J28"/>
  <c r="H31"/>
  <c r="H14"/>
  <c r="H29"/>
  <c r="H26"/>
  <c r="H27"/>
  <c r="X34" l="1"/>
  <c r="X36" s="1"/>
  <c r="Z34"/>
  <c r="Z36" s="1"/>
  <c r="W34"/>
  <c r="W36" s="1"/>
  <c r="BC34"/>
  <c r="BC36" s="1"/>
  <c r="M34"/>
  <c r="M36" s="1"/>
  <c r="J34"/>
  <c r="J36" s="1"/>
  <c r="K34"/>
  <c r="K36" s="1"/>
  <c r="V34"/>
  <c r="V36" s="1"/>
  <c r="Y34"/>
  <c r="Y36" s="1"/>
  <c r="AA34"/>
  <c r="AA36" s="1"/>
  <c r="I22"/>
  <c r="H28"/>
  <c r="H22"/>
  <c r="H9"/>
  <c r="H36" l="1"/>
  <c r="I28"/>
  <c r="I14" l="1"/>
  <c r="I34" s="1"/>
  <c r="CQ34" s="1"/>
  <c r="CR34" s="1"/>
  <c r="I36" l="1"/>
</calcChain>
</file>

<file path=xl/sharedStrings.xml><?xml version="1.0" encoding="utf-8"?>
<sst xmlns="http://schemas.openxmlformats.org/spreadsheetml/2006/main" count="414" uniqueCount="223">
  <si>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</si>
  <si>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</si>
  <si>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</si>
  <si>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</si>
  <si>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</si>
  <si>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</si>
  <si>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</si>
  <si>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</si>
  <si>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</si>
  <si>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</si>
  <si>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</si>
  <si>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</si>
  <si>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</si>
  <si>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</si>
  <si>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</si>
  <si>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</si>
  <si>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</si>
  <si>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</si>
  <si>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</si>
  <si>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</si>
  <si>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</si>
  <si>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</si>
  <si>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</si>
  <si>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</si>
  <si>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</si>
  <si>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</si>
  <si>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</si>
  <si>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</si>
  <si>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</si>
  <si>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</si>
  <si>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</si>
  <si>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</si>
  <si>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</si>
  <si>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</si>
  <si>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</si>
  <si>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</si>
  <si>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</si>
  <si>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</si>
  <si>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</si>
  <si>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</si>
  <si>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</si>
  <si>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</si>
  <si>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</si>
  <si>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</si>
  <si>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</si>
  <si>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</si>
  <si>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</si>
  <si>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</si>
  <si>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</si>
  <si>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</si>
  <si>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</si>
  <si>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</si>
  <si>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Приложение №2</t>
  </si>
  <si>
    <t>к извещению и документации</t>
  </si>
  <si>
    <t xml:space="preserve"> о проведении открытого конкурса</t>
  </si>
  <si>
    <t>35</t>
  </si>
  <si>
    <t>36</t>
  </si>
  <si>
    <t>33</t>
  </si>
  <si>
    <t>37</t>
  </si>
  <si>
    <t>42</t>
  </si>
  <si>
    <t>53</t>
  </si>
  <si>
    <t>421,5</t>
  </si>
  <si>
    <t>2</t>
  </si>
  <si>
    <t>5</t>
  </si>
  <si>
    <t>6</t>
  </si>
  <si>
    <t>7</t>
  </si>
  <si>
    <t>29</t>
  </si>
  <si>
    <t>32</t>
  </si>
  <si>
    <t>38</t>
  </si>
  <si>
    <t>425,9</t>
  </si>
  <si>
    <t>Лот № 2</t>
  </si>
  <si>
    <t>Жилой район      Октябрьский    территориальный округ</t>
  </si>
  <si>
    <t>ВОЛОГОДСКАЯ ул.</t>
  </si>
  <si>
    <t>Г. СУФТИНА ул.</t>
  </si>
  <si>
    <t>ГАГАРИНА ул.</t>
  </si>
  <si>
    <t>ГАЙДАРА ул.</t>
  </si>
  <si>
    <t>К.С. БАДИГИНА прз.</t>
  </si>
  <si>
    <t>КАРЕЛЬСКАЯ ул.</t>
  </si>
  <si>
    <t>КОМСОМОЛЬСКАЯ ул.</t>
  </si>
  <si>
    <t>ЛОГИНОВА ул.</t>
  </si>
  <si>
    <t>ЛОМОНОСОВА пр.</t>
  </si>
  <si>
    <t>ОБВОДНЫЙ КАНАЛ пр.</t>
  </si>
  <si>
    <t>ПОПОВА ул.</t>
  </si>
  <si>
    <t>САМОЙЛО ул.</t>
  </si>
  <si>
    <t>СЕВЕРНОЙ ДВИНЫ наб.</t>
  </si>
  <si>
    <t>СИБИРЯКОВЦЕВ прз.</t>
  </si>
  <si>
    <t>ТЕСНАНОВА ул.</t>
  </si>
  <si>
    <t>ТЫКО ВЫЛКИ ул.</t>
  </si>
  <si>
    <t>1, к1</t>
  </si>
  <si>
    <t>1, к2</t>
  </si>
  <si>
    <t>14</t>
  </si>
  <si>
    <t>16, к1</t>
  </si>
  <si>
    <t>39, к1</t>
  </si>
  <si>
    <t>45</t>
  </si>
  <si>
    <t>16</t>
  </si>
  <si>
    <t>4, к1</t>
  </si>
  <si>
    <t>12</t>
  </si>
  <si>
    <t>47</t>
  </si>
  <si>
    <t>43, к2</t>
  </si>
  <si>
    <t>46</t>
  </si>
  <si>
    <t>74</t>
  </si>
  <si>
    <t>183, к2</t>
  </si>
  <si>
    <t>183, к3</t>
  </si>
  <si>
    <t>213</t>
  </si>
  <si>
    <t>279</t>
  </si>
  <si>
    <t>283</t>
  </si>
  <si>
    <t>88</t>
  </si>
  <si>
    <t>123</t>
  </si>
  <si>
    <t>50</t>
  </si>
  <si>
    <t>50, к1</t>
  </si>
  <si>
    <t>52</t>
  </si>
  <si>
    <t>56</t>
  </si>
  <si>
    <t>56, к1</t>
  </si>
  <si>
    <t>60</t>
  </si>
  <si>
    <t>26</t>
  </si>
  <si>
    <t>118</t>
  </si>
  <si>
    <t>10</t>
  </si>
  <si>
    <t>АВИАЦИОННАЯ ул.</t>
  </si>
  <si>
    <t>68</t>
  </si>
  <si>
    <t>2-5 этажные жилые дома</t>
  </si>
  <si>
    <t>МВК     деревянный благоустроенный дом с центр отоплением</t>
  </si>
  <si>
    <t>деревянный благоустроенный без центр отопления</t>
  </si>
  <si>
    <t>КАРЛА МАРКСА ул.</t>
  </si>
  <si>
    <t>28, к1</t>
  </si>
  <si>
    <t>21</t>
  </si>
  <si>
    <t>23</t>
  </si>
  <si>
    <t>25</t>
  </si>
  <si>
    <t>30</t>
  </si>
  <si>
    <t>39</t>
  </si>
  <si>
    <t>172, к3</t>
  </si>
  <si>
    <t>59</t>
  </si>
  <si>
    <t>61</t>
  </si>
  <si>
    <t>63</t>
  </si>
  <si>
    <t>СВОБОДЫ ул.</t>
  </si>
  <si>
    <t>СОВЕТСКИХ КОСМОНАВТОВ пр.</t>
  </si>
  <si>
    <t>28</t>
  </si>
  <si>
    <t>57, к1</t>
  </si>
  <si>
    <t>107, к1</t>
  </si>
  <si>
    <t>112</t>
  </si>
  <si>
    <t>113</t>
  </si>
  <si>
    <t>192</t>
  </si>
  <si>
    <t>194</t>
  </si>
  <si>
    <t>194, к2</t>
  </si>
  <si>
    <t>200, 1</t>
  </si>
  <si>
    <t>МВК    деревянный благоустроенный без центр отопления</t>
  </si>
  <si>
    <t>МВК   деревянный не благоустроенный с центр отопленим без канализ</t>
  </si>
  <si>
    <t>679,8</t>
  </si>
  <si>
    <t>454,8</t>
  </si>
  <si>
    <t>533,9</t>
  </si>
  <si>
    <t>522,4</t>
  </si>
  <si>
    <t>329,6</t>
  </si>
  <si>
    <t>746,8</t>
  </si>
  <si>
    <t>332,8</t>
  </si>
  <si>
    <t>530,1</t>
  </si>
  <si>
    <t>1065,5</t>
  </si>
  <si>
    <t>588,7</t>
  </si>
  <si>
    <t>494,2</t>
  </si>
  <si>
    <t>740,9</t>
  </si>
  <si>
    <t>588,1</t>
  </si>
  <si>
    <t>550,3</t>
  </si>
  <si>
    <t>390,2</t>
  </si>
  <si>
    <t>354,8</t>
  </si>
  <si>
    <t>548,9</t>
  </si>
  <si>
    <t>979,4</t>
  </si>
  <si>
    <t>729,1</t>
  </si>
  <si>
    <t>473,2</t>
  </si>
  <si>
    <t>596,7</t>
  </si>
  <si>
    <t>577,1</t>
  </si>
  <si>
    <t>572,9</t>
  </si>
  <si>
    <t>422,9</t>
  </si>
  <si>
    <t>420,5</t>
  </si>
  <si>
    <t>412,8</t>
  </si>
  <si>
    <t>260,9</t>
  </si>
  <si>
    <t>496</t>
  </si>
  <si>
    <t>523</t>
  </si>
  <si>
    <t>518,8</t>
  </si>
  <si>
    <t>584,9</t>
  </si>
  <si>
    <t>582,4</t>
  </si>
  <si>
    <t>328,3</t>
  </si>
  <si>
    <t>600,3</t>
  </si>
  <si>
    <t>591,3</t>
  </si>
  <si>
    <t>516,5</t>
  </si>
  <si>
    <t>307,6</t>
  </si>
  <si>
    <t>663,1</t>
  </si>
  <si>
    <t>546,3</t>
  </si>
  <si>
    <t>412,3</t>
  </si>
  <si>
    <t>343,8</t>
  </si>
  <si>
    <t>1556,5</t>
  </si>
  <si>
    <t>506,7</t>
  </si>
  <si>
    <t>662,2</t>
  </si>
  <si>
    <t>987,5</t>
  </si>
  <si>
    <t>584,2</t>
  </si>
  <si>
    <t>399,7</t>
  </si>
  <si>
    <t>854,2</t>
  </si>
  <si>
    <t>866,7</t>
  </si>
  <si>
    <t>576</t>
  </si>
  <si>
    <t>597,6</t>
  </si>
  <si>
    <t>594,1</t>
  </si>
  <si>
    <t>596,5</t>
  </si>
  <si>
    <t>1. Подметание  полов во всех помещениях общего пользования</t>
  </si>
  <si>
    <t>2. Влажная уборка полов во всех помещениях общего пользования</t>
  </si>
  <si>
    <t>2раз(а) в неделю</t>
  </si>
  <si>
    <t>1раз(а) в неделю</t>
  </si>
  <si>
    <t>3раз(а) в неделю</t>
  </si>
  <si>
    <t>12раз(а) в месяц</t>
  </si>
  <si>
    <t>5. Подметание земельного участка в летний период</t>
  </si>
  <si>
    <t>6. Уборка мусора с газона, очистка урн</t>
  </si>
  <si>
    <t>4 раз(а) в  неделю</t>
  </si>
  <si>
    <t>3 раз(а) в неделю</t>
  </si>
  <si>
    <t>7. Уборка мусора на контейнерных площадках (помойных ям)</t>
  </si>
  <si>
    <t>8. Очистка кровли от снега, сбивание сосулек</t>
  </si>
  <si>
    <t>9. Сдвигание  и подметание снега при отсутствии снегопадов</t>
  </si>
  <si>
    <t xml:space="preserve">10. Сдвигание  и подметание снега при  снегопаде
</t>
  </si>
  <si>
    <t>11. Вывоз твердых бытовых отходов (ТБО), жидких бытовых отходов</t>
  </si>
  <si>
    <t xml:space="preserve">12. Укрепление водосточных труб, колен и  воронок
</t>
  </si>
  <si>
    <t xml:space="preserve">13. Расконсервирование и ремонт поливочной системы, консервация системы центрального отопления, ремонт просевшей отмостки
</t>
  </si>
  <si>
    <t xml:space="preserve">14.Замена разбитых стекол окон и дверей в помещениях общего пользования
</t>
  </si>
  <si>
    <t>15. Ремонт, регулировка, промывка, испытание, расконсервация систем центрального отопления, утепление бойлеров, утепление и прочистка дымовентиляционных каналов, консервация поливочных систем, проверка состояния и ремонт продухов в цоколях зданий, ремонт и утепление наружных водоразборных кранов и колонок, ремонт и укрепление входных дверей, прочистка канализационных лежаков</t>
  </si>
  <si>
    <t>1раз(а) в год</t>
  </si>
  <si>
    <t>17. Проведение технических осмотров и устранение незначительных  неисправностей в системах вентиляции, дымоудаления,  электротехнических устройств</t>
  </si>
  <si>
    <t>19. Дератизация, дезинсекция</t>
  </si>
  <si>
    <t xml:space="preserve">проверка исправности вытяжек 2раз(а) в год. Проверка наличия тяги в дымовентиляционных каналах  1 раз(а) в год. Проверка заземления оболочки электрокабеля, замеры сопротивления  раз(а) в год. </t>
  </si>
  <si>
    <t xml:space="preserve">                                      Стоимость работ (размер платы) в руб. по многоквартирным домам</t>
  </si>
</sst>
</file>

<file path=xl/styles.xml><?xml version="1.0" encoding="utf-8"?>
<styleSheet xmlns="http://schemas.openxmlformats.org/spreadsheetml/2006/main">
  <fonts count="14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C00000"/>
      <name val="Times New Roman"/>
      <family val="1"/>
    </font>
    <font>
      <sz val="8"/>
      <name val="Times New Roman"/>
      <family val="1"/>
      <charset val="204"/>
    </font>
    <font>
      <sz val="9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/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left"/>
    </xf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49" fontId="12" fillId="2" borderId="5" xfId="0" applyNumberFormat="1" applyFont="1" applyFill="1" applyBorder="1" applyAlignment="1">
      <alignment horizontal="left" wrapText="1"/>
    </xf>
    <xf numFmtId="4" fontId="4" fillId="2" borderId="5" xfId="0" applyNumberFormat="1" applyFont="1" applyFill="1" applyBorder="1" applyAlignment="1">
      <alignment horizontal="center" vertical="top"/>
    </xf>
    <xf numFmtId="4" fontId="10" fillId="2" borderId="5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 vertical="top" wrapText="1"/>
    </xf>
    <xf numFmtId="4" fontId="9" fillId="2" borderId="5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wrapText="1"/>
    </xf>
    <xf numFmtId="4" fontId="9" fillId="2" borderId="5" xfId="0" applyNumberFormat="1" applyFont="1" applyFill="1" applyBorder="1" applyAlignment="1">
      <alignment horizontal="center" wrapText="1"/>
    </xf>
    <xf numFmtId="4" fontId="10" fillId="2" borderId="5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left" vertical="top"/>
    </xf>
    <xf numFmtId="4" fontId="10" fillId="2" borderId="5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left" vertical="top"/>
    </xf>
    <xf numFmtId="49" fontId="9" fillId="2" borderId="5" xfId="0" applyNumberFormat="1" applyFont="1" applyFill="1" applyBorder="1" applyAlignment="1">
      <alignment horizontal="center" wrapText="1"/>
    </xf>
    <xf numFmtId="4" fontId="8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wrapText="1"/>
    </xf>
    <xf numFmtId="49" fontId="12" fillId="2" borderId="6" xfId="0" applyNumberFormat="1" applyFont="1" applyFill="1" applyBorder="1" applyAlignment="1">
      <alignment horizontal="left" wrapText="1"/>
    </xf>
    <xf numFmtId="49" fontId="12" fillId="2" borderId="1" xfId="0" applyNumberFormat="1" applyFont="1" applyFill="1" applyBorder="1" applyAlignment="1">
      <alignment horizontal="left" wrapText="1"/>
    </xf>
    <xf numFmtId="4" fontId="8" fillId="2" borderId="4" xfId="0" applyNumberFormat="1" applyFont="1" applyFill="1" applyBorder="1" applyAlignment="1">
      <alignment vertical="center"/>
    </xf>
    <xf numFmtId="4" fontId="8" fillId="2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/>
    <xf numFmtId="4" fontId="8" fillId="2" borderId="5" xfId="0" applyNumberFormat="1" applyFont="1" applyFill="1" applyBorder="1" applyAlignment="1">
      <alignment horizontal="left" vertical="top"/>
    </xf>
    <xf numFmtId="4" fontId="8" fillId="2" borderId="5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/>
    <xf numFmtId="2" fontId="2" fillId="2" borderId="0" xfId="0" applyNumberFormat="1" applyFont="1" applyFill="1" applyAlignment="1"/>
    <xf numFmtId="4" fontId="9" fillId="2" borderId="5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left" vertical="top"/>
    </xf>
    <xf numFmtId="4" fontId="8" fillId="2" borderId="5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left" vertical="top"/>
    </xf>
    <xf numFmtId="4" fontId="8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42"/>
  <sheetViews>
    <sheetView tabSelected="1" view="pageBreakPreview" zoomScaleNormal="100" zoomScaleSheetLayoutView="100" workbookViewId="0">
      <selection activeCell="CM6" sqref="CM6:CO36"/>
    </sheetView>
  </sheetViews>
  <sheetFormatPr defaultRowHeight="12.75"/>
  <cols>
    <col min="1" max="5" width="9.140625" style="5"/>
    <col min="6" max="6" width="12.140625" style="5" customWidth="1"/>
    <col min="7" max="7" width="18.85546875" style="5" customWidth="1"/>
    <col min="8" max="8" width="9.42578125" style="6" customWidth="1"/>
    <col min="9" max="11" width="8.5703125" style="6" customWidth="1"/>
    <col min="12" max="12" width="8.5703125" style="8" customWidth="1"/>
    <col min="13" max="13" width="8.5703125" style="6" customWidth="1"/>
    <col min="14" max="21" width="8.5703125" style="8" customWidth="1"/>
    <col min="22" max="26" width="8.42578125" style="6" customWidth="1"/>
    <col min="27" max="27" width="8.42578125" style="5" customWidth="1"/>
    <col min="28" max="28" width="8.42578125" style="8" customWidth="1"/>
    <col min="29" max="29" width="8.42578125" style="5" customWidth="1"/>
    <col min="30" max="31" width="8.42578125" style="8" customWidth="1"/>
    <col min="32" max="32" width="8.42578125" style="5" customWidth="1"/>
    <col min="33" max="36" width="8.5703125" style="8" customWidth="1"/>
    <col min="37" max="37" width="18.42578125" style="5" customWidth="1"/>
    <col min="38" max="38" width="10" style="10" customWidth="1"/>
    <col min="39" max="39" width="8.42578125" style="5" customWidth="1"/>
    <col min="40" max="43" width="8.5703125" style="11" customWidth="1"/>
    <col min="44" max="44" width="8.42578125" style="5" customWidth="1"/>
    <col min="45" max="47" width="8.5703125" style="11" customWidth="1"/>
    <col min="48" max="48" width="8.42578125" style="5" customWidth="1"/>
    <col min="49" max="50" width="8.5703125" style="11" customWidth="1"/>
    <col min="51" max="51" width="8.42578125" style="5" customWidth="1"/>
    <col min="52" max="52" width="8.5703125" style="11" customWidth="1"/>
    <col min="53" max="53" width="17.85546875" style="5" customWidth="1"/>
    <col min="54" max="54" width="12.85546875" style="5" customWidth="1"/>
    <col min="55" max="55" width="8.42578125" style="5" customWidth="1"/>
    <col min="56" max="56" width="17.7109375" style="5" customWidth="1"/>
    <col min="57" max="57" width="10.42578125" style="5" customWidth="1"/>
    <col min="58" max="67" width="8.42578125" style="5" customWidth="1"/>
    <col min="68" max="68" width="17.7109375" style="5" customWidth="1"/>
    <col min="69" max="69" width="10.28515625" style="5" customWidth="1"/>
    <col min="70" max="70" width="8" style="12" customWidth="1"/>
    <col min="71" max="71" width="8" style="5" customWidth="1"/>
    <col min="72" max="78" width="8" style="12" customWidth="1"/>
    <col min="79" max="79" width="8" style="5" customWidth="1"/>
    <col min="80" max="80" width="8" style="12" customWidth="1"/>
    <col min="81" max="81" width="8.85546875" style="12" customWidth="1"/>
    <col min="82" max="84" width="7.7109375" style="12" customWidth="1"/>
    <col min="85" max="89" width="9.140625" style="5"/>
    <col min="90" max="90" width="8.28515625" style="5" customWidth="1"/>
    <col min="91" max="91" width="19.140625" style="5" customWidth="1"/>
    <col min="92" max="92" width="8.5703125" style="5" customWidth="1"/>
    <col min="93" max="93" width="9.85546875" style="5" customWidth="1"/>
    <col min="94" max="94" width="9.140625" style="1"/>
    <col min="95" max="95" width="10.85546875" style="1" customWidth="1"/>
    <col min="96" max="104" width="9.140625" style="1"/>
  </cols>
  <sheetData>
    <row r="1" spans="1:93" s="5" customFormat="1" ht="16.5" customHeight="1">
      <c r="A1" s="40" t="s">
        <v>25</v>
      </c>
      <c r="B1" s="40"/>
      <c r="C1" s="40"/>
      <c r="D1" s="40"/>
      <c r="E1" s="40"/>
      <c r="F1" s="40"/>
      <c r="G1" s="40"/>
      <c r="H1" s="13"/>
      <c r="I1" s="13"/>
      <c r="J1" s="13"/>
      <c r="K1" s="13" t="s">
        <v>52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2"/>
      <c r="W1" s="2"/>
      <c r="X1" s="2"/>
      <c r="Y1" s="2"/>
      <c r="Z1" s="2"/>
      <c r="AB1" s="2"/>
      <c r="AD1" s="2"/>
      <c r="AE1" s="2"/>
      <c r="AG1" s="13"/>
      <c r="AH1" s="13"/>
      <c r="AI1" s="13"/>
      <c r="AJ1" s="13"/>
      <c r="AK1" s="13"/>
      <c r="AL1" s="13"/>
      <c r="AN1" s="13"/>
      <c r="AO1" s="13"/>
      <c r="AP1" s="13"/>
      <c r="AQ1" s="13"/>
      <c r="AS1" s="13"/>
      <c r="AT1" s="13"/>
      <c r="AU1" s="13"/>
      <c r="AW1" s="13"/>
      <c r="AX1" s="13"/>
      <c r="AZ1" s="13"/>
      <c r="BA1" s="13"/>
      <c r="BD1" s="13"/>
      <c r="BP1" s="13"/>
      <c r="BR1" s="13"/>
      <c r="BT1" s="13"/>
      <c r="BU1" s="13"/>
      <c r="BV1" s="13"/>
      <c r="BW1" s="13"/>
      <c r="BX1" s="13"/>
      <c r="BY1" s="13"/>
      <c r="BZ1" s="13"/>
      <c r="CB1" s="13"/>
      <c r="CC1" s="13"/>
      <c r="CD1" s="13"/>
      <c r="CE1" s="13"/>
      <c r="CF1" s="13"/>
      <c r="CG1" s="59"/>
      <c r="CH1" s="59"/>
      <c r="CI1" s="59"/>
      <c r="CJ1" s="59"/>
      <c r="CK1" s="59"/>
      <c r="CL1" s="59"/>
      <c r="CM1" s="59"/>
    </row>
    <row r="2" spans="1:93" s="5" customFormat="1" ht="16.5" customHeight="1">
      <c r="A2" s="40" t="s">
        <v>24</v>
      </c>
      <c r="B2" s="40"/>
      <c r="C2" s="40"/>
      <c r="D2" s="40"/>
      <c r="E2" s="40"/>
      <c r="F2" s="40"/>
      <c r="G2" s="40"/>
      <c r="H2" s="13"/>
      <c r="I2" s="9"/>
      <c r="J2" s="13"/>
      <c r="K2" s="13" t="s">
        <v>53</v>
      </c>
      <c r="L2" s="9"/>
      <c r="M2" s="13"/>
      <c r="N2" s="9"/>
      <c r="O2" s="13"/>
      <c r="P2" s="9"/>
      <c r="Q2" s="13"/>
      <c r="R2" s="9"/>
      <c r="S2" s="13"/>
      <c r="T2" s="9"/>
      <c r="U2" s="13"/>
      <c r="V2" s="3"/>
      <c r="W2" s="3"/>
      <c r="X2" s="3"/>
      <c r="Y2" s="3"/>
      <c r="Z2" s="3"/>
      <c r="AB2" s="3"/>
      <c r="AD2" s="3"/>
      <c r="AE2" s="3"/>
      <c r="AG2" s="13"/>
      <c r="AH2" s="9"/>
      <c r="AI2" s="13"/>
      <c r="AJ2" s="9"/>
      <c r="AK2" s="13"/>
      <c r="AL2" s="9"/>
      <c r="AN2" s="13"/>
      <c r="AO2" s="9"/>
      <c r="AP2" s="13"/>
      <c r="AQ2" s="9"/>
      <c r="AS2" s="13"/>
      <c r="AT2" s="9"/>
      <c r="AU2" s="13"/>
      <c r="AW2" s="13"/>
      <c r="AX2" s="13"/>
      <c r="AZ2" s="9"/>
      <c r="BA2" s="13"/>
      <c r="BD2" s="13"/>
      <c r="BP2" s="13"/>
      <c r="BR2" s="9"/>
      <c r="BT2" s="13"/>
      <c r="BU2" s="9"/>
      <c r="BV2" s="13"/>
      <c r="BW2" s="9"/>
      <c r="BX2" s="9"/>
      <c r="BY2" s="13"/>
      <c r="BZ2" s="9"/>
      <c r="CB2" s="13"/>
      <c r="CC2" s="9"/>
      <c r="CD2" s="9"/>
      <c r="CE2" s="13"/>
      <c r="CF2" s="13"/>
      <c r="CG2" s="59"/>
      <c r="CH2" s="59"/>
      <c r="CI2" s="59"/>
      <c r="CJ2" s="59"/>
      <c r="CK2" s="59"/>
      <c r="CL2" s="59"/>
      <c r="CM2" s="59"/>
    </row>
    <row r="3" spans="1:93" s="5" customFormat="1" ht="16.5" customHeight="1">
      <c r="A3" s="40" t="s">
        <v>23</v>
      </c>
      <c r="B3" s="40"/>
      <c r="C3" s="40"/>
      <c r="D3" s="40"/>
      <c r="E3" s="40"/>
      <c r="F3" s="40"/>
      <c r="G3" s="40"/>
      <c r="H3" s="13"/>
      <c r="I3" s="13"/>
      <c r="J3" s="13"/>
      <c r="K3" s="13" t="s">
        <v>54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3"/>
      <c r="W3" s="3"/>
      <c r="X3" s="3"/>
      <c r="Y3" s="3"/>
      <c r="Z3" s="3"/>
      <c r="AB3" s="3"/>
      <c r="AD3" s="3"/>
      <c r="AE3" s="3"/>
      <c r="AG3" s="13"/>
      <c r="AH3" s="13"/>
      <c r="AI3" s="13"/>
      <c r="AJ3" s="13"/>
      <c r="AK3" s="13"/>
      <c r="AL3" s="13"/>
      <c r="AN3" s="13"/>
      <c r="AO3" s="13"/>
      <c r="AP3" s="13"/>
      <c r="AQ3" s="13"/>
      <c r="AS3" s="13"/>
      <c r="AT3" s="13"/>
      <c r="AU3" s="13"/>
      <c r="AW3" s="13"/>
      <c r="AX3" s="13"/>
      <c r="AZ3" s="13"/>
      <c r="BA3" s="13"/>
      <c r="BD3" s="13"/>
      <c r="BP3" s="13"/>
      <c r="BR3" s="13"/>
      <c r="BT3" s="13"/>
      <c r="BU3" s="13"/>
      <c r="BV3" s="13"/>
      <c r="BW3" s="13"/>
      <c r="BX3" s="13"/>
      <c r="BY3" s="13"/>
      <c r="BZ3" s="13"/>
      <c r="CB3" s="13"/>
      <c r="CC3" s="13"/>
      <c r="CD3" s="13"/>
      <c r="CE3" s="13"/>
      <c r="CF3" s="13"/>
      <c r="CG3" s="59"/>
      <c r="CH3" s="59"/>
      <c r="CI3" s="59"/>
      <c r="CJ3" s="59"/>
      <c r="CK3" s="59"/>
      <c r="CL3" s="59"/>
      <c r="CM3" s="59"/>
    </row>
    <row r="4" spans="1:93" s="5" customFormat="1" ht="16.5" customHeight="1">
      <c r="A4" s="40" t="s">
        <v>22</v>
      </c>
      <c r="B4" s="40"/>
      <c r="C4" s="40"/>
      <c r="D4" s="40"/>
      <c r="E4" s="40"/>
      <c r="F4" s="40"/>
      <c r="G4" s="40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B4" s="13"/>
      <c r="AD4" s="13"/>
      <c r="AE4" s="13"/>
      <c r="AG4" s="13"/>
      <c r="AH4" s="13"/>
      <c r="AI4" s="13"/>
      <c r="AJ4" s="13"/>
      <c r="AK4" s="13"/>
      <c r="AL4" s="13"/>
      <c r="AN4" s="13"/>
      <c r="AO4" s="13"/>
      <c r="AP4" s="13"/>
      <c r="AQ4" s="13"/>
      <c r="AS4" s="13"/>
      <c r="AT4" s="13"/>
      <c r="AU4" s="13"/>
      <c r="AW4" s="13"/>
      <c r="AX4" s="13"/>
      <c r="AZ4" s="13"/>
      <c r="BA4" s="13"/>
      <c r="BD4" s="13"/>
      <c r="BP4" s="13"/>
      <c r="BR4" s="13"/>
      <c r="BT4" s="13"/>
      <c r="BU4" s="13"/>
      <c r="BV4" s="13"/>
      <c r="BW4" s="13"/>
      <c r="BX4" s="13"/>
      <c r="BY4" s="13"/>
      <c r="BZ4" s="13"/>
      <c r="CB4" s="13"/>
      <c r="CC4" s="13"/>
      <c r="CD4" s="13"/>
      <c r="CE4" s="13"/>
      <c r="CF4" s="13"/>
      <c r="CG4" s="59"/>
      <c r="CH4" s="59"/>
      <c r="CI4" s="59"/>
      <c r="CJ4" s="59"/>
      <c r="CK4" s="59"/>
      <c r="CL4" s="59"/>
      <c r="CM4" s="59"/>
    </row>
    <row r="5" spans="1:93" s="5" customFormat="1">
      <c r="A5" s="4" t="s">
        <v>70</v>
      </c>
      <c r="B5" s="4" t="s">
        <v>71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B5" s="13"/>
      <c r="AD5" s="13"/>
      <c r="AE5" s="13"/>
      <c r="AG5" s="13"/>
      <c r="AH5" s="13"/>
      <c r="AI5" s="13"/>
      <c r="AJ5" s="13"/>
      <c r="AL5" s="13"/>
      <c r="AN5" s="13"/>
      <c r="AO5" s="13"/>
      <c r="AP5" s="13"/>
      <c r="AQ5" s="13"/>
      <c r="AS5" s="13"/>
      <c r="AT5" s="13"/>
      <c r="AU5" s="13"/>
      <c r="AW5" s="13"/>
      <c r="AX5" s="13"/>
      <c r="AZ5" s="13"/>
      <c r="BR5" s="13"/>
      <c r="BT5" s="13"/>
      <c r="BU5" s="13"/>
      <c r="BV5" s="13"/>
      <c r="BW5" s="13"/>
      <c r="BX5" s="13"/>
      <c r="BY5" s="13"/>
      <c r="BZ5" s="13"/>
      <c r="CB5" s="13"/>
      <c r="CC5" s="13"/>
      <c r="CD5" s="13"/>
      <c r="CE5" s="13"/>
      <c r="CF5" s="13"/>
      <c r="CG5" s="4"/>
      <c r="CH5" s="4"/>
    </row>
    <row r="6" spans="1:93" s="5" customFormat="1" ht="15.75" customHeight="1">
      <c r="A6" s="56" t="s">
        <v>21</v>
      </c>
      <c r="B6" s="56"/>
      <c r="C6" s="56"/>
      <c r="D6" s="56"/>
      <c r="E6" s="56"/>
      <c r="F6" s="56"/>
      <c r="G6" s="47" t="s">
        <v>20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9"/>
      <c r="AK6" s="47" t="s">
        <v>20</v>
      </c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9"/>
      <c r="BA6" s="47" t="s">
        <v>20</v>
      </c>
      <c r="BB6" s="48"/>
      <c r="BC6" s="48"/>
      <c r="BD6" s="48"/>
      <c r="BE6" s="48"/>
      <c r="BF6" s="48"/>
      <c r="BG6" s="48"/>
      <c r="BH6" s="48"/>
      <c r="BI6" s="48"/>
      <c r="BJ6" s="48"/>
      <c r="BK6" s="39"/>
      <c r="BL6" s="39"/>
      <c r="BM6" s="39"/>
      <c r="BN6" s="39"/>
      <c r="BO6" s="38"/>
      <c r="BP6" s="47" t="s">
        <v>222</v>
      </c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9"/>
      <c r="CG6" s="56" t="s">
        <v>21</v>
      </c>
      <c r="CH6" s="56"/>
      <c r="CI6" s="56"/>
      <c r="CJ6" s="56"/>
      <c r="CK6" s="56"/>
      <c r="CL6" s="56"/>
      <c r="CM6" s="47"/>
      <c r="CN6" s="48"/>
      <c r="CO6" s="49"/>
    </row>
    <row r="7" spans="1:93" s="14" customFormat="1" ht="56.25" customHeight="1">
      <c r="A7" s="56"/>
      <c r="B7" s="56"/>
      <c r="C7" s="56"/>
      <c r="D7" s="56"/>
      <c r="E7" s="56"/>
      <c r="F7" s="56"/>
      <c r="G7" s="57" t="s">
        <v>19</v>
      </c>
      <c r="H7" s="50" t="s">
        <v>46</v>
      </c>
      <c r="I7" s="36" t="s">
        <v>72</v>
      </c>
      <c r="J7" s="36" t="s">
        <v>72</v>
      </c>
      <c r="K7" s="36" t="s">
        <v>72</v>
      </c>
      <c r="L7" s="36" t="s">
        <v>72</v>
      </c>
      <c r="M7" s="36" t="s">
        <v>72</v>
      </c>
      <c r="N7" s="36" t="s">
        <v>73</v>
      </c>
      <c r="O7" s="36" t="s">
        <v>73</v>
      </c>
      <c r="P7" s="36" t="s">
        <v>74</v>
      </c>
      <c r="Q7" s="36" t="s">
        <v>75</v>
      </c>
      <c r="R7" s="36" t="s">
        <v>76</v>
      </c>
      <c r="S7" s="36" t="s">
        <v>76</v>
      </c>
      <c r="T7" s="36" t="s">
        <v>76</v>
      </c>
      <c r="U7" s="36" t="s">
        <v>76</v>
      </c>
      <c r="V7" s="36" t="s">
        <v>78</v>
      </c>
      <c r="W7" s="36" t="s">
        <v>78</v>
      </c>
      <c r="X7" s="36" t="s">
        <v>80</v>
      </c>
      <c r="Y7" s="36" t="s">
        <v>80</v>
      </c>
      <c r="Z7" s="36" t="s">
        <v>80</v>
      </c>
      <c r="AA7" s="36" t="s">
        <v>81</v>
      </c>
      <c r="AB7" s="36" t="s">
        <v>81</v>
      </c>
      <c r="AC7" s="36" t="s">
        <v>82</v>
      </c>
      <c r="AD7" s="36" t="s">
        <v>82</v>
      </c>
      <c r="AE7" s="36" t="s">
        <v>83</v>
      </c>
      <c r="AF7" s="36" t="s">
        <v>84</v>
      </c>
      <c r="AG7" s="36" t="s">
        <v>85</v>
      </c>
      <c r="AH7" s="36" t="s">
        <v>86</v>
      </c>
      <c r="AI7" s="36" t="s">
        <v>87</v>
      </c>
      <c r="AJ7" s="36" t="s">
        <v>87</v>
      </c>
      <c r="AK7" s="45" t="s">
        <v>19</v>
      </c>
      <c r="AL7" s="46" t="s">
        <v>121</v>
      </c>
      <c r="AM7" s="36" t="s">
        <v>72</v>
      </c>
      <c r="AN7" s="36" t="s">
        <v>74</v>
      </c>
      <c r="AO7" s="36" t="s">
        <v>74</v>
      </c>
      <c r="AP7" s="36" t="s">
        <v>74</v>
      </c>
      <c r="AQ7" s="36" t="s">
        <v>74</v>
      </c>
      <c r="AR7" s="36" t="s">
        <v>74</v>
      </c>
      <c r="AS7" s="36" t="s">
        <v>74</v>
      </c>
      <c r="AT7" s="36" t="s">
        <v>74</v>
      </c>
      <c r="AU7" s="36" t="s">
        <v>74</v>
      </c>
      <c r="AV7" s="36" t="s">
        <v>122</v>
      </c>
      <c r="AW7" s="36" t="s">
        <v>80</v>
      </c>
      <c r="AX7" s="36" t="s">
        <v>134</v>
      </c>
      <c r="AY7" s="36" t="s">
        <v>134</v>
      </c>
      <c r="AZ7" s="36" t="s">
        <v>80</v>
      </c>
      <c r="BA7" s="45" t="s">
        <v>19</v>
      </c>
      <c r="BB7" s="46" t="s">
        <v>145</v>
      </c>
      <c r="BC7" s="36" t="s">
        <v>117</v>
      </c>
      <c r="BD7" s="45" t="s">
        <v>19</v>
      </c>
      <c r="BE7" s="46" t="s">
        <v>120</v>
      </c>
      <c r="BF7" s="36" t="s">
        <v>72</v>
      </c>
      <c r="BG7" s="36" t="s">
        <v>77</v>
      </c>
      <c r="BH7" s="36" t="s">
        <v>77</v>
      </c>
      <c r="BI7" s="36" t="s">
        <v>79</v>
      </c>
      <c r="BJ7" s="36" t="s">
        <v>80</v>
      </c>
      <c r="BK7" s="36" t="s">
        <v>80</v>
      </c>
      <c r="BL7" s="36" t="s">
        <v>82</v>
      </c>
      <c r="BM7" s="36" t="s">
        <v>82</v>
      </c>
      <c r="BN7" s="36" t="s">
        <v>82</v>
      </c>
      <c r="BO7" s="36" t="s">
        <v>82</v>
      </c>
      <c r="BP7" s="45" t="s">
        <v>19</v>
      </c>
      <c r="BQ7" s="46" t="s">
        <v>144</v>
      </c>
      <c r="BR7" s="36" t="s">
        <v>74</v>
      </c>
      <c r="BS7" s="36" t="s">
        <v>74</v>
      </c>
      <c r="BT7" s="36" t="s">
        <v>74</v>
      </c>
      <c r="BU7" s="36" t="s">
        <v>74</v>
      </c>
      <c r="BV7" s="36" t="s">
        <v>74</v>
      </c>
      <c r="BW7" s="36" t="s">
        <v>74</v>
      </c>
      <c r="BX7" s="36" t="s">
        <v>81</v>
      </c>
      <c r="BY7" s="36" t="s">
        <v>81</v>
      </c>
      <c r="BZ7" s="36" t="s">
        <v>81</v>
      </c>
      <c r="CA7" s="36" t="s">
        <v>133</v>
      </c>
      <c r="CB7" s="36" t="s">
        <v>133</v>
      </c>
      <c r="CC7" s="36" t="s">
        <v>134</v>
      </c>
      <c r="CD7" s="36" t="s">
        <v>134</v>
      </c>
      <c r="CE7" s="36" t="s">
        <v>134</v>
      </c>
      <c r="CF7" s="36" t="s">
        <v>134</v>
      </c>
      <c r="CG7" s="56"/>
      <c r="CH7" s="56"/>
      <c r="CI7" s="56"/>
      <c r="CJ7" s="56"/>
      <c r="CK7" s="56"/>
      <c r="CL7" s="56"/>
      <c r="CM7" s="57" t="s">
        <v>19</v>
      </c>
      <c r="CN7" s="50" t="s">
        <v>119</v>
      </c>
      <c r="CO7" s="36" t="s">
        <v>117</v>
      </c>
    </row>
    <row r="8" spans="1:93" s="14" customFormat="1" ht="16.5" customHeight="1">
      <c r="A8" s="56"/>
      <c r="B8" s="56"/>
      <c r="C8" s="56"/>
      <c r="D8" s="56"/>
      <c r="E8" s="56"/>
      <c r="F8" s="56"/>
      <c r="G8" s="57"/>
      <c r="H8" s="50"/>
      <c r="I8" s="37" t="s">
        <v>88</v>
      </c>
      <c r="J8" s="37" t="s">
        <v>90</v>
      </c>
      <c r="K8" s="37" t="s">
        <v>91</v>
      </c>
      <c r="L8" s="37" t="s">
        <v>57</v>
      </c>
      <c r="M8" s="37" t="s">
        <v>92</v>
      </c>
      <c r="N8" s="37" t="s">
        <v>58</v>
      </c>
      <c r="O8" s="37" t="s">
        <v>93</v>
      </c>
      <c r="P8" s="37" t="s">
        <v>66</v>
      </c>
      <c r="Q8" s="37" t="s">
        <v>94</v>
      </c>
      <c r="R8" s="37" t="s">
        <v>95</v>
      </c>
      <c r="S8" s="37" t="s">
        <v>63</v>
      </c>
      <c r="T8" s="37" t="s">
        <v>65</v>
      </c>
      <c r="U8" s="37" t="s">
        <v>96</v>
      </c>
      <c r="V8" s="37" t="s">
        <v>98</v>
      </c>
      <c r="W8" s="37" t="s">
        <v>99</v>
      </c>
      <c r="X8" s="37" t="s">
        <v>101</v>
      </c>
      <c r="Y8" s="37" t="s">
        <v>102</v>
      </c>
      <c r="Z8" s="37" t="s">
        <v>103</v>
      </c>
      <c r="AA8" s="37" t="s">
        <v>106</v>
      </c>
      <c r="AB8" s="37" t="s">
        <v>107</v>
      </c>
      <c r="AC8" s="37" t="s">
        <v>112</v>
      </c>
      <c r="AD8" s="37" t="s">
        <v>113</v>
      </c>
      <c r="AE8" s="37" t="s">
        <v>114</v>
      </c>
      <c r="AF8" s="37" t="s">
        <v>115</v>
      </c>
      <c r="AG8" s="37" t="s">
        <v>116</v>
      </c>
      <c r="AH8" s="37" t="s">
        <v>94</v>
      </c>
      <c r="AI8" s="37" t="s">
        <v>62</v>
      </c>
      <c r="AJ8" s="37" t="s">
        <v>64</v>
      </c>
      <c r="AK8" s="45"/>
      <c r="AL8" s="46"/>
      <c r="AM8" s="37" t="s">
        <v>123</v>
      </c>
      <c r="AN8" s="37" t="s">
        <v>124</v>
      </c>
      <c r="AO8" s="37" t="s">
        <v>125</v>
      </c>
      <c r="AP8" s="37" t="s">
        <v>126</v>
      </c>
      <c r="AQ8" s="37" t="s">
        <v>55</v>
      </c>
      <c r="AR8" s="37" t="s">
        <v>58</v>
      </c>
      <c r="AS8" s="37" t="s">
        <v>68</v>
      </c>
      <c r="AT8" s="37" t="s">
        <v>128</v>
      </c>
      <c r="AU8" s="37" t="s">
        <v>92</v>
      </c>
      <c r="AV8" s="37" t="s">
        <v>59</v>
      </c>
      <c r="AW8" s="37" t="s">
        <v>129</v>
      </c>
      <c r="AX8" s="37" t="s">
        <v>138</v>
      </c>
      <c r="AY8" s="37" t="s">
        <v>140</v>
      </c>
      <c r="AZ8" s="37" t="s">
        <v>143</v>
      </c>
      <c r="BA8" s="45"/>
      <c r="BB8" s="46"/>
      <c r="BC8" s="37" t="s">
        <v>118</v>
      </c>
      <c r="BD8" s="45"/>
      <c r="BE8" s="46"/>
      <c r="BF8" s="37" t="s">
        <v>89</v>
      </c>
      <c r="BG8" s="37" t="s">
        <v>97</v>
      </c>
      <c r="BH8" s="37" t="s">
        <v>60</v>
      </c>
      <c r="BI8" s="37" t="s">
        <v>100</v>
      </c>
      <c r="BJ8" s="37" t="s">
        <v>104</v>
      </c>
      <c r="BK8" s="37" t="s">
        <v>105</v>
      </c>
      <c r="BL8" s="37" t="s">
        <v>108</v>
      </c>
      <c r="BM8" s="37" t="s">
        <v>109</v>
      </c>
      <c r="BN8" s="37" t="s">
        <v>110</v>
      </c>
      <c r="BO8" s="37" t="s">
        <v>111</v>
      </c>
      <c r="BP8" s="45"/>
      <c r="BQ8" s="46"/>
      <c r="BR8" s="37" t="s">
        <v>114</v>
      </c>
      <c r="BS8" s="37" t="s">
        <v>123</v>
      </c>
      <c r="BT8" s="37" t="s">
        <v>127</v>
      </c>
      <c r="BU8" s="37" t="s">
        <v>67</v>
      </c>
      <c r="BV8" s="37" t="s">
        <v>57</v>
      </c>
      <c r="BW8" s="37" t="s">
        <v>56</v>
      </c>
      <c r="BX8" s="37" t="s">
        <v>130</v>
      </c>
      <c r="BY8" s="37" t="s">
        <v>131</v>
      </c>
      <c r="BZ8" s="37" t="s">
        <v>132</v>
      </c>
      <c r="CA8" s="37" t="s">
        <v>135</v>
      </c>
      <c r="CB8" s="37" t="s">
        <v>136</v>
      </c>
      <c r="CC8" s="37" t="s">
        <v>137</v>
      </c>
      <c r="CD8" s="37" t="s">
        <v>139</v>
      </c>
      <c r="CE8" s="37" t="s">
        <v>141</v>
      </c>
      <c r="CF8" s="37" t="s">
        <v>142</v>
      </c>
      <c r="CG8" s="56"/>
      <c r="CH8" s="56"/>
      <c r="CI8" s="56"/>
      <c r="CJ8" s="56"/>
      <c r="CK8" s="56"/>
      <c r="CL8" s="56"/>
      <c r="CM8" s="57"/>
      <c r="CN8" s="50"/>
      <c r="CO8" s="37" t="s">
        <v>56</v>
      </c>
    </row>
    <row r="9" spans="1:93" s="5" customFormat="1">
      <c r="A9" s="53" t="s">
        <v>18</v>
      </c>
      <c r="B9" s="53"/>
      <c r="C9" s="53"/>
      <c r="D9" s="53"/>
      <c r="E9" s="53"/>
      <c r="F9" s="53"/>
      <c r="G9" s="18"/>
      <c r="H9" s="19">
        <f t="shared" ref="H9" si="0">SUM(H10:H13)</f>
        <v>0</v>
      </c>
      <c r="I9" s="19">
        <f t="shared" ref="I9" si="1">SUM(I10:I13)</f>
        <v>0</v>
      </c>
      <c r="J9" s="19">
        <f t="shared" ref="J9:M9" si="2">SUM(J10:J13)</f>
        <v>0</v>
      </c>
      <c r="K9" s="19">
        <f t="shared" si="2"/>
        <v>0</v>
      </c>
      <c r="L9" s="19">
        <f t="shared" si="2"/>
        <v>0</v>
      </c>
      <c r="M9" s="19">
        <f t="shared" si="2"/>
        <v>0</v>
      </c>
      <c r="N9" s="19">
        <f t="shared" ref="N9:Q9" si="3">SUM(N10:N13)</f>
        <v>0</v>
      </c>
      <c r="O9" s="19">
        <f t="shared" si="3"/>
        <v>0</v>
      </c>
      <c r="P9" s="19">
        <f t="shared" si="3"/>
        <v>0</v>
      </c>
      <c r="Q9" s="19">
        <f t="shared" si="3"/>
        <v>0</v>
      </c>
      <c r="R9" s="19">
        <f t="shared" ref="R9:U9" si="4">SUM(R10:R13)</f>
        <v>0</v>
      </c>
      <c r="S9" s="19">
        <f t="shared" si="4"/>
        <v>0</v>
      </c>
      <c r="T9" s="19">
        <f t="shared" si="4"/>
        <v>0</v>
      </c>
      <c r="U9" s="19">
        <f t="shared" si="4"/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f t="shared" ref="AG9:AJ9" si="5">SUM(AG10:AG13)</f>
        <v>0</v>
      </c>
      <c r="AH9" s="19">
        <f t="shared" si="5"/>
        <v>0</v>
      </c>
      <c r="AI9" s="19">
        <f t="shared" si="5"/>
        <v>0</v>
      </c>
      <c r="AJ9" s="19">
        <f t="shared" si="5"/>
        <v>0</v>
      </c>
      <c r="AK9" s="20"/>
      <c r="AL9" s="21">
        <v>0</v>
      </c>
      <c r="AM9" s="19">
        <v>0</v>
      </c>
      <c r="AN9" s="19">
        <f t="shared" ref="AN9:AP9" si="6">SUM(AN10:AN13)</f>
        <v>0</v>
      </c>
      <c r="AO9" s="19">
        <f t="shared" si="6"/>
        <v>0</v>
      </c>
      <c r="AP9" s="19">
        <f t="shared" si="6"/>
        <v>0</v>
      </c>
      <c r="AQ9" s="19">
        <f t="shared" ref="AQ9" si="7">SUM(AQ10:AQ13)</f>
        <v>0</v>
      </c>
      <c r="AR9" s="19">
        <v>0</v>
      </c>
      <c r="AS9" s="19">
        <f t="shared" ref="AS9:AU9" si="8">SUM(AS10:AS13)</f>
        <v>0</v>
      </c>
      <c r="AT9" s="19">
        <f t="shared" si="8"/>
        <v>0</v>
      </c>
      <c r="AU9" s="19">
        <f t="shared" si="8"/>
        <v>0</v>
      </c>
      <c r="AV9" s="19">
        <v>0</v>
      </c>
      <c r="AW9" s="19">
        <f t="shared" ref="AW9" si="9">SUM(AW10:AW13)</f>
        <v>0</v>
      </c>
      <c r="AX9" s="19">
        <f t="shared" ref="AX9" si="10">SUM(AX10:AX13)</f>
        <v>0</v>
      </c>
      <c r="AY9" s="19">
        <v>0</v>
      </c>
      <c r="AZ9" s="19">
        <f t="shared" ref="AZ9" si="11">SUM(AZ10:AZ13)</f>
        <v>0</v>
      </c>
      <c r="BA9" s="20"/>
      <c r="BB9" s="21">
        <v>0</v>
      </c>
      <c r="BC9" s="19">
        <v>0</v>
      </c>
      <c r="BD9" s="20"/>
      <c r="BE9" s="21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20"/>
      <c r="BQ9" s="21">
        <v>0</v>
      </c>
      <c r="BR9" s="19">
        <f t="shared" ref="BR9" si="12">SUM(BR10:BR13)</f>
        <v>0</v>
      </c>
      <c r="BS9" s="19">
        <v>0</v>
      </c>
      <c r="BT9" s="19">
        <f t="shared" ref="BT9:BW9" si="13">SUM(BT10:BT13)</f>
        <v>0</v>
      </c>
      <c r="BU9" s="19">
        <f t="shared" si="13"/>
        <v>0</v>
      </c>
      <c r="BV9" s="19">
        <f t="shared" si="13"/>
        <v>0</v>
      </c>
      <c r="BW9" s="19">
        <f t="shared" si="13"/>
        <v>0</v>
      </c>
      <c r="BX9" s="19">
        <f t="shared" ref="BX9:BZ9" si="14">SUM(BX10:BX13)</f>
        <v>0</v>
      </c>
      <c r="BY9" s="19">
        <f t="shared" si="14"/>
        <v>0</v>
      </c>
      <c r="BZ9" s="19">
        <f t="shared" si="14"/>
        <v>0</v>
      </c>
      <c r="CA9" s="19">
        <v>0</v>
      </c>
      <c r="CB9" s="19">
        <f t="shared" ref="CB9:CD9" si="15">SUM(CB10:CB13)</f>
        <v>0</v>
      </c>
      <c r="CC9" s="19">
        <f t="shared" si="15"/>
        <v>0</v>
      </c>
      <c r="CD9" s="19">
        <f t="shared" si="15"/>
        <v>0</v>
      </c>
      <c r="CE9" s="19">
        <f t="shared" ref="CE9:CF9" si="16">SUM(CE10:CE13)</f>
        <v>0</v>
      </c>
      <c r="CF9" s="19">
        <f t="shared" si="16"/>
        <v>0</v>
      </c>
      <c r="CG9" s="53" t="s">
        <v>18</v>
      </c>
      <c r="CH9" s="53"/>
      <c r="CI9" s="53"/>
      <c r="CJ9" s="53"/>
      <c r="CK9" s="53"/>
      <c r="CL9" s="53"/>
      <c r="CM9" s="18"/>
      <c r="CN9" s="19">
        <f t="shared" ref="CN9:CO9" si="17">SUM(CN10:CN13)</f>
        <v>5.0200000000000005</v>
      </c>
      <c r="CO9" s="19">
        <f t="shared" si="17"/>
        <v>93763.56</v>
      </c>
    </row>
    <row r="10" spans="1:93" s="5" customFormat="1">
      <c r="A10" s="55" t="s">
        <v>26</v>
      </c>
      <c r="B10" s="55"/>
      <c r="C10" s="55"/>
      <c r="D10" s="55"/>
      <c r="E10" s="55"/>
      <c r="F10" s="55"/>
      <c r="G10" s="22" t="s">
        <v>11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 t="s">
        <v>11</v>
      </c>
      <c r="AL10" s="22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v>0</v>
      </c>
      <c r="AY10" s="23">
        <v>0</v>
      </c>
      <c r="AZ10" s="23">
        <v>0</v>
      </c>
      <c r="BA10" s="23" t="s">
        <v>11</v>
      </c>
      <c r="BB10" s="22">
        <v>0</v>
      </c>
      <c r="BC10" s="23">
        <v>0</v>
      </c>
      <c r="BD10" s="23" t="s">
        <v>11</v>
      </c>
      <c r="BE10" s="22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 t="s">
        <v>11</v>
      </c>
      <c r="BQ10" s="22">
        <v>0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23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0</v>
      </c>
      <c r="CF10" s="23">
        <v>0</v>
      </c>
      <c r="CG10" s="55" t="s">
        <v>199</v>
      </c>
      <c r="CH10" s="55"/>
      <c r="CI10" s="55"/>
      <c r="CJ10" s="55"/>
      <c r="CK10" s="55"/>
      <c r="CL10" s="55"/>
      <c r="CM10" s="22" t="s">
        <v>201</v>
      </c>
      <c r="CN10" s="23">
        <v>4.1900000000000004</v>
      </c>
      <c r="CO10" s="23">
        <f>4.19*12*CO35</f>
        <v>78260.820000000007</v>
      </c>
    </row>
    <row r="11" spans="1:93" s="5" customFormat="1">
      <c r="A11" s="55" t="s">
        <v>27</v>
      </c>
      <c r="B11" s="55"/>
      <c r="C11" s="55"/>
      <c r="D11" s="55"/>
      <c r="E11" s="55"/>
      <c r="F11" s="55"/>
      <c r="G11" s="22" t="s">
        <v>11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 t="s">
        <v>11</v>
      </c>
      <c r="AL11" s="22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3">
        <v>0</v>
      </c>
      <c r="AZ11" s="23">
        <v>0</v>
      </c>
      <c r="BA11" s="23" t="s">
        <v>11</v>
      </c>
      <c r="BB11" s="22">
        <v>0</v>
      </c>
      <c r="BC11" s="23">
        <v>0</v>
      </c>
      <c r="BD11" s="23" t="s">
        <v>11</v>
      </c>
      <c r="BE11" s="22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  <c r="BK11" s="23">
        <v>0</v>
      </c>
      <c r="BL11" s="23">
        <v>0</v>
      </c>
      <c r="BM11" s="23">
        <v>0</v>
      </c>
      <c r="BN11" s="23">
        <v>0</v>
      </c>
      <c r="BO11" s="23">
        <v>0</v>
      </c>
      <c r="BP11" s="23" t="s">
        <v>11</v>
      </c>
      <c r="BQ11" s="22">
        <v>0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3">
        <v>0</v>
      </c>
      <c r="BX11" s="23">
        <v>0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  <c r="CD11" s="23">
        <v>0</v>
      </c>
      <c r="CE11" s="23">
        <v>0</v>
      </c>
      <c r="CF11" s="23">
        <v>0</v>
      </c>
      <c r="CG11" s="55" t="s">
        <v>200</v>
      </c>
      <c r="CH11" s="55"/>
      <c r="CI11" s="55"/>
      <c r="CJ11" s="55"/>
      <c r="CK11" s="55"/>
      <c r="CL11" s="55"/>
      <c r="CM11" s="22" t="s">
        <v>202</v>
      </c>
      <c r="CN11" s="23">
        <v>0.83</v>
      </c>
      <c r="CO11" s="23">
        <f>0.83*12*CO35</f>
        <v>15502.739999999998</v>
      </c>
    </row>
    <row r="12" spans="1:93" s="5" customFormat="1">
      <c r="A12" s="55" t="s">
        <v>17</v>
      </c>
      <c r="B12" s="55"/>
      <c r="C12" s="55"/>
      <c r="D12" s="55"/>
      <c r="E12" s="55"/>
      <c r="F12" s="55"/>
      <c r="G12" s="22" t="s">
        <v>11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 t="s">
        <v>11</v>
      </c>
      <c r="AL12" s="22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v>0</v>
      </c>
      <c r="AU12" s="23">
        <v>0</v>
      </c>
      <c r="AV12" s="23">
        <v>0</v>
      </c>
      <c r="AW12" s="23">
        <v>0</v>
      </c>
      <c r="AX12" s="23">
        <v>0</v>
      </c>
      <c r="AY12" s="23">
        <v>0</v>
      </c>
      <c r="AZ12" s="23">
        <v>0</v>
      </c>
      <c r="BA12" s="23" t="s">
        <v>11</v>
      </c>
      <c r="BB12" s="22">
        <v>0</v>
      </c>
      <c r="BC12" s="23">
        <v>0</v>
      </c>
      <c r="BD12" s="23" t="s">
        <v>11</v>
      </c>
      <c r="BE12" s="22">
        <v>0</v>
      </c>
      <c r="BF12" s="23">
        <v>0</v>
      </c>
      <c r="BG12" s="23">
        <v>0</v>
      </c>
      <c r="BH12" s="23">
        <v>0</v>
      </c>
      <c r="BI12" s="23">
        <v>0</v>
      </c>
      <c r="BJ12" s="23">
        <v>0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 t="s">
        <v>11</v>
      </c>
      <c r="BQ12" s="22">
        <v>0</v>
      </c>
      <c r="BR12" s="23">
        <v>0</v>
      </c>
      <c r="BS12" s="23">
        <v>0</v>
      </c>
      <c r="BT12" s="23">
        <v>0</v>
      </c>
      <c r="BU12" s="23">
        <v>0</v>
      </c>
      <c r="BV12" s="23">
        <v>0</v>
      </c>
      <c r="BW12" s="23">
        <v>0</v>
      </c>
      <c r="BX12" s="23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0</v>
      </c>
      <c r="CD12" s="23">
        <v>0</v>
      </c>
      <c r="CE12" s="23">
        <v>0</v>
      </c>
      <c r="CF12" s="23">
        <v>0</v>
      </c>
      <c r="CG12" s="55" t="s">
        <v>17</v>
      </c>
      <c r="CH12" s="55"/>
      <c r="CI12" s="55"/>
      <c r="CJ12" s="55"/>
      <c r="CK12" s="55"/>
      <c r="CL12" s="55"/>
      <c r="CM12" s="22" t="s">
        <v>203</v>
      </c>
      <c r="CN12" s="23">
        <v>0</v>
      </c>
      <c r="CO12" s="23">
        <f>0*12*CO35</f>
        <v>0</v>
      </c>
    </row>
    <row r="13" spans="1:93" s="5" customFormat="1">
      <c r="A13" s="55" t="s">
        <v>16</v>
      </c>
      <c r="B13" s="55"/>
      <c r="C13" s="55"/>
      <c r="D13" s="55"/>
      <c r="E13" s="55"/>
      <c r="F13" s="55"/>
      <c r="G13" s="22" t="s">
        <v>15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 t="s">
        <v>15</v>
      </c>
      <c r="AL13" s="22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3">
        <v>0</v>
      </c>
      <c r="BA13" s="23" t="s">
        <v>15</v>
      </c>
      <c r="BB13" s="22">
        <v>0</v>
      </c>
      <c r="BC13" s="23">
        <v>0</v>
      </c>
      <c r="BD13" s="23" t="s">
        <v>15</v>
      </c>
      <c r="BE13" s="22">
        <v>0</v>
      </c>
      <c r="BF13" s="23">
        <v>0</v>
      </c>
      <c r="BG13" s="23">
        <v>0</v>
      </c>
      <c r="BH13" s="23">
        <v>0</v>
      </c>
      <c r="BI13" s="23">
        <v>0</v>
      </c>
      <c r="BJ13" s="23">
        <v>0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 t="s">
        <v>15</v>
      </c>
      <c r="BQ13" s="22">
        <v>0</v>
      </c>
      <c r="BR13" s="23">
        <v>0</v>
      </c>
      <c r="BS13" s="23">
        <v>0</v>
      </c>
      <c r="BT13" s="23">
        <v>0</v>
      </c>
      <c r="BU13" s="23">
        <v>0</v>
      </c>
      <c r="BV13" s="23">
        <v>0</v>
      </c>
      <c r="BW13" s="23">
        <v>0</v>
      </c>
      <c r="BX13" s="23">
        <v>0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v>0</v>
      </c>
      <c r="CF13" s="23">
        <v>0</v>
      </c>
      <c r="CG13" s="55" t="s">
        <v>16</v>
      </c>
      <c r="CH13" s="55"/>
      <c r="CI13" s="55"/>
      <c r="CJ13" s="55"/>
      <c r="CK13" s="55"/>
      <c r="CL13" s="55"/>
      <c r="CM13" s="22" t="s">
        <v>204</v>
      </c>
      <c r="CN13" s="23">
        <v>0</v>
      </c>
      <c r="CO13" s="23">
        <f>0*12*CO35</f>
        <v>0</v>
      </c>
    </row>
    <row r="14" spans="1:93" s="5" customFormat="1" ht="23.85" customHeight="1">
      <c r="A14" s="58" t="s">
        <v>14</v>
      </c>
      <c r="B14" s="58"/>
      <c r="C14" s="58"/>
      <c r="D14" s="58"/>
      <c r="E14" s="58"/>
      <c r="F14" s="58"/>
      <c r="G14" s="18"/>
      <c r="H14" s="19">
        <f t="shared" ref="H14" si="18">SUM(H15:H21)</f>
        <v>4.6500000000000004</v>
      </c>
      <c r="I14" s="19">
        <f t="shared" ref="I14:M14" si="19">SUM(I15:I21)</f>
        <v>37932.839999999997</v>
      </c>
      <c r="J14" s="19">
        <f t="shared" si="19"/>
        <v>25377.84</v>
      </c>
      <c r="K14" s="19">
        <f t="shared" si="19"/>
        <v>29791.62</v>
      </c>
      <c r="L14" s="19">
        <f t="shared" ref="L14:O14" si="20">SUM(L15:L21)</f>
        <v>29149.919999999998</v>
      </c>
      <c r="M14" s="19">
        <f t="shared" si="19"/>
        <v>18391.680000000004</v>
      </c>
      <c r="N14" s="19">
        <f t="shared" si="20"/>
        <v>41671.440000000002</v>
      </c>
      <c r="O14" s="19">
        <f t="shared" si="20"/>
        <v>18570.240000000002</v>
      </c>
      <c r="P14" s="19">
        <f t="shared" ref="P14:U14" si="21">SUM(P15:P21)</f>
        <v>29579.58</v>
      </c>
      <c r="Q14" s="19">
        <f t="shared" si="21"/>
        <v>59454.899999999994</v>
      </c>
      <c r="R14" s="19">
        <f t="shared" si="21"/>
        <v>32849.460000000006</v>
      </c>
      <c r="S14" s="19">
        <f t="shared" si="21"/>
        <v>27576.36</v>
      </c>
      <c r="T14" s="19">
        <f t="shared" si="21"/>
        <v>41342.22</v>
      </c>
      <c r="U14" s="19">
        <f t="shared" si="21"/>
        <v>32815.980000000003</v>
      </c>
      <c r="V14" s="19">
        <f t="shared" ref="V14:AA14" si="22">SUM(V15:V21)</f>
        <v>30706.739999999998</v>
      </c>
      <c r="W14" s="19">
        <f t="shared" si="22"/>
        <v>21773.160000000003</v>
      </c>
      <c r="X14" s="19">
        <f t="shared" si="22"/>
        <v>19797.84</v>
      </c>
      <c r="Y14" s="19">
        <f t="shared" si="22"/>
        <v>30628.620000000003</v>
      </c>
      <c r="Z14" s="19">
        <f t="shared" si="22"/>
        <v>54650.520000000004</v>
      </c>
      <c r="AA14" s="19">
        <f t="shared" si="22"/>
        <v>40683.78</v>
      </c>
      <c r="AB14" s="19">
        <f t="shared" ref="AB14:AC14" si="23">SUM(AB15:AB21)</f>
        <v>26404.559999999998</v>
      </c>
      <c r="AC14" s="19">
        <f t="shared" si="23"/>
        <v>33295.86</v>
      </c>
      <c r="AD14" s="19">
        <f t="shared" ref="AD14:AJ14" si="24">SUM(AD15:AD21)</f>
        <v>32202.18</v>
      </c>
      <c r="AE14" s="19">
        <f t="shared" si="24"/>
        <v>31967.82</v>
      </c>
      <c r="AF14" s="19">
        <f t="shared" si="24"/>
        <v>23765.22</v>
      </c>
      <c r="AG14" s="19">
        <f t="shared" si="24"/>
        <v>23597.82</v>
      </c>
      <c r="AH14" s="19">
        <f t="shared" si="24"/>
        <v>23519.7</v>
      </c>
      <c r="AI14" s="19">
        <f t="shared" si="24"/>
        <v>23463.9</v>
      </c>
      <c r="AJ14" s="19">
        <f t="shared" si="24"/>
        <v>23034.240000000002</v>
      </c>
      <c r="AK14" s="20"/>
      <c r="AL14" s="21">
        <v>5.0999999999999996</v>
      </c>
      <c r="AM14" s="19">
        <f t="shared" ref="AM14:AP14" si="25">SUM(AM15:AM21)</f>
        <v>15967.079999999998</v>
      </c>
      <c r="AN14" s="19">
        <f t="shared" si="25"/>
        <v>30355.199999999997</v>
      </c>
      <c r="AO14" s="19">
        <f t="shared" si="25"/>
        <v>32007.599999999999</v>
      </c>
      <c r="AP14" s="19">
        <f t="shared" si="25"/>
        <v>31750.560000000001</v>
      </c>
      <c r="AQ14" s="19">
        <f t="shared" ref="AQ14:AZ14" si="26">SUM(AQ15:AQ21)</f>
        <v>35795.880000000005</v>
      </c>
      <c r="AR14" s="19">
        <f t="shared" ref="AR14:AU14" si="27">SUM(AR15:AR21)</f>
        <v>35642.879999999997</v>
      </c>
      <c r="AS14" s="19">
        <f t="shared" si="27"/>
        <v>20091.96</v>
      </c>
      <c r="AT14" s="19">
        <f t="shared" si="27"/>
        <v>36738.36</v>
      </c>
      <c r="AU14" s="19">
        <f t="shared" si="27"/>
        <v>36187.56</v>
      </c>
      <c r="AV14" s="19">
        <f t="shared" si="26"/>
        <v>18825.120000000003</v>
      </c>
      <c r="AW14" s="19">
        <f t="shared" si="26"/>
        <v>40581.72</v>
      </c>
      <c r="AX14" s="19">
        <f t="shared" ref="AX14" si="28">SUM(AX15:AX21)</f>
        <v>33433.56</v>
      </c>
      <c r="AY14" s="19">
        <f t="shared" ref="AY14" si="29">SUM(AY15:AY21)</f>
        <v>25232.76</v>
      </c>
      <c r="AZ14" s="19">
        <f t="shared" si="26"/>
        <v>21040.560000000001</v>
      </c>
      <c r="BA14" s="20"/>
      <c r="BB14" s="21">
        <v>10.45</v>
      </c>
      <c r="BC14" s="19">
        <f t="shared" ref="BC14" si="30">SUM(BC15:BC21)</f>
        <v>63540.179999999993</v>
      </c>
      <c r="BD14" s="20"/>
      <c r="BE14" s="21">
        <v>4.6500000000000004</v>
      </c>
      <c r="BF14" s="19">
        <f t="shared" ref="BF14:BI14" si="31">SUM(BF15:BF21)</f>
        <v>36950.760000000009</v>
      </c>
      <c r="BG14" s="19">
        <f t="shared" si="31"/>
        <v>55102.5</v>
      </c>
      <c r="BH14" s="19">
        <f t="shared" si="31"/>
        <v>32598.360000000004</v>
      </c>
      <c r="BI14" s="19">
        <f t="shared" si="31"/>
        <v>22303.260000000002</v>
      </c>
      <c r="BJ14" s="19">
        <f t="shared" ref="BJ14:BO14" si="32">SUM(BJ15:BJ21)</f>
        <v>47664.36</v>
      </c>
      <c r="BK14" s="19">
        <f t="shared" si="32"/>
        <v>48361.86</v>
      </c>
      <c r="BL14" s="19">
        <f t="shared" si="32"/>
        <v>32140.800000000003</v>
      </c>
      <c r="BM14" s="19">
        <f t="shared" si="32"/>
        <v>33346.080000000002</v>
      </c>
      <c r="BN14" s="19">
        <f t="shared" si="32"/>
        <v>33150.780000000006</v>
      </c>
      <c r="BO14" s="19">
        <f t="shared" si="32"/>
        <v>33284.699999999997</v>
      </c>
      <c r="BP14" s="20"/>
      <c r="BQ14" s="21">
        <v>5.0999999999999996</v>
      </c>
      <c r="BR14" s="19">
        <f t="shared" ref="BR14:CF14" si="33">SUM(BR15:BR21)</f>
        <v>15967.079999999998</v>
      </c>
      <c r="BS14" s="19">
        <f t="shared" si="33"/>
        <v>30355.199999999997</v>
      </c>
      <c r="BT14" s="19">
        <f t="shared" si="33"/>
        <v>32007.599999999999</v>
      </c>
      <c r="BU14" s="19">
        <f t="shared" si="33"/>
        <v>31750.560000000001</v>
      </c>
      <c r="BV14" s="19">
        <f t="shared" si="33"/>
        <v>35795.880000000005</v>
      </c>
      <c r="BW14" s="19">
        <f t="shared" si="33"/>
        <v>35642.879999999997</v>
      </c>
      <c r="BX14" s="19">
        <f t="shared" si="33"/>
        <v>20091.96</v>
      </c>
      <c r="BY14" s="19">
        <f t="shared" si="33"/>
        <v>36738.36</v>
      </c>
      <c r="BZ14" s="19">
        <f t="shared" si="33"/>
        <v>36187.56</v>
      </c>
      <c r="CA14" s="19">
        <f t="shared" si="33"/>
        <v>31609.800000000003</v>
      </c>
      <c r="CB14" s="19">
        <f t="shared" si="33"/>
        <v>18825.120000000003</v>
      </c>
      <c r="CC14" s="19">
        <f t="shared" si="33"/>
        <v>40581.72</v>
      </c>
      <c r="CD14" s="19">
        <f t="shared" si="33"/>
        <v>33433.56</v>
      </c>
      <c r="CE14" s="19">
        <f t="shared" si="33"/>
        <v>25232.76</v>
      </c>
      <c r="CF14" s="19">
        <f t="shared" si="33"/>
        <v>21040.560000000001</v>
      </c>
      <c r="CG14" s="58" t="s">
        <v>14</v>
      </c>
      <c r="CH14" s="58"/>
      <c r="CI14" s="58"/>
      <c r="CJ14" s="58"/>
      <c r="CK14" s="58"/>
      <c r="CL14" s="58"/>
      <c r="CM14" s="18"/>
      <c r="CN14" s="19">
        <f t="shared" ref="CN14:CO14" si="34">SUM(CN15:CN21)</f>
        <v>6.0399999999999991</v>
      </c>
      <c r="CO14" s="19">
        <f t="shared" si="34"/>
        <v>112815.12000000001</v>
      </c>
    </row>
    <row r="15" spans="1:93" s="5" customFormat="1">
      <c r="A15" s="55" t="s">
        <v>40</v>
      </c>
      <c r="B15" s="55"/>
      <c r="C15" s="55"/>
      <c r="D15" s="55"/>
      <c r="E15" s="55"/>
      <c r="F15" s="55"/>
      <c r="G15" s="22" t="s">
        <v>41</v>
      </c>
      <c r="H15" s="23">
        <v>1.08</v>
      </c>
      <c r="I15" s="23">
        <f>1.08*12*I35</f>
        <v>8810.2080000000005</v>
      </c>
      <c r="J15" s="23">
        <f t="shared" ref="J15:AJ15" si="35">1.08*12*J35</f>
        <v>5894.2080000000005</v>
      </c>
      <c r="K15" s="23">
        <f t="shared" si="35"/>
        <v>6919.3440000000001</v>
      </c>
      <c r="L15" s="23">
        <f t="shared" si="35"/>
        <v>6770.3040000000001</v>
      </c>
      <c r="M15" s="23">
        <f t="shared" si="35"/>
        <v>4271.6160000000009</v>
      </c>
      <c r="N15" s="23">
        <f t="shared" si="35"/>
        <v>9678.5280000000002</v>
      </c>
      <c r="O15" s="23">
        <f t="shared" si="35"/>
        <v>4313.0880000000006</v>
      </c>
      <c r="P15" s="23">
        <f t="shared" si="35"/>
        <v>6870.0960000000005</v>
      </c>
      <c r="Q15" s="23">
        <f t="shared" si="35"/>
        <v>13808.880000000001</v>
      </c>
      <c r="R15" s="23">
        <f t="shared" si="35"/>
        <v>7629.5520000000015</v>
      </c>
      <c r="S15" s="23">
        <f t="shared" si="35"/>
        <v>6404.8320000000003</v>
      </c>
      <c r="T15" s="23">
        <f t="shared" si="35"/>
        <v>9602.0640000000003</v>
      </c>
      <c r="U15" s="23">
        <f t="shared" si="35"/>
        <v>7621.7760000000007</v>
      </c>
      <c r="V15" s="23">
        <f t="shared" si="35"/>
        <v>7131.8879999999999</v>
      </c>
      <c r="W15" s="23">
        <f t="shared" si="35"/>
        <v>5056.9920000000002</v>
      </c>
      <c r="X15" s="23">
        <f t="shared" si="35"/>
        <v>4598.2080000000005</v>
      </c>
      <c r="Y15" s="23">
        <f t="shared" si="35"/>
        <v>7113.7440000000006</v>
      </c>
      <c r="Z15" s="23">
        <f t="shared" si="35"/>
        <v>12693.024000000001</v>
      </c>
      <c r="AA15" s="23">
        <f t="shared" si="35"/>
        <v>9449.1360000000004</v>
      </c>
      <c r="AB15" s="23">
        <f t="shared" si="35"/>
        <v>6132.6720000000005</v>
      </c>
      <c r="AC15" s="23">
        <f t="shared" si="35"/>
        <v>7733.2320000000009</v>
      </c>
      <c r="AD15" s="23">
        <f t="shared" si="35"/>
        <v>7479.2160000000003</v>
      </c>
      <c r="AE15" s="23">
        <f t="shared" si="35"/>
        <v>7424.7840000000006</v>
      </c>
      <c r="AF15" s="23">
        <f t="shared" si="35"/>
        <v>5519.6639999999998</v>
      </c>
      <c r="AG15" s="23">
        <f t="shared" si="35"/>
        <v>5480.7839999999997</v>
      </c>
      <c r="AH15" s="23">
        <f t="shared" si="35"/>
        <v>5462.64</v>
      </c>
      <c r="AI15" s="23">
        <f t="shared" si="35"/>
        <v>5449.68</v>
      </c>
      <c r="AJ15" s="23">
        <f t="shared" si="35"/>
        <v>5349.8880000000008</v>
      </c>
      <c r="AK15" s="23" t="s">
        <v>41</v>
      </c>
      <c r="AL15" s="22">
        <v>1.04</v>
      </c>
      <c r="AM15" s="23">
        <f>1.04*12*AM35</f>
        <v>3256.0319999999997</v>
      </c>
      <c r="AN15" s="23">
        <f t="shared" ref="AN15:AZ15" si="36">1.04*12*AN35</f>
        <v>6190.08</v>
      </c>
      <c r="AO15" s="23">
        <f t="shared" si="36"/>
        <v>6527.04</v>
      </c>
      <c r="AP15" s="23">
        <f t="shared" si="36"/>
        <v>6474.6239999999998</v>
      </c>
      <c r="AQ15" s="23">
        <f t="shared" si="36"/>
        <v>7299.5519999999997</v>
      </c>
      <c r="AR15" s="23">
        <f t="shared" si="36"/>
        <v>7268.3519999999999</v>
      </c>
      <c r="AS15" s="23">
        <f t="shared" si="36"/>
        <v>4097.1840000000002</v>
      </c>
      <c r="AT15" s="23">
        <f t="shared" si="36"/>
        <v>7491.7439999999997</v>
      </c>
      <c r="AU15" s="23">
        <f t="shared" si="36"/>
        <v>7379.424</v>
      </c>
      <c r="AV15" s="23">
        <f t="shared" si="36"/>
        <v>3838.8480000000004</v>
      </c>
      <c r="AW15" s="23">
        <f t="shared" si="36"/>
        <v>8275.4880000000012</v>
      </c>
      <c r="AX15" s="23">
        <f t="shared" si="36"/>
        <v>6817.8239999999996</v>
      </c>
      <c r="AY15" s="23">
        <f t="shared" si="36"/>
        <v>5145.5039999999999</v>
      </c>
      <c r="AZ15" s="23">
        <f t="shared" si="36"/>
        <v>4290.6240000000007</v>
      </c>
      <c r="BA15" s="23" t="s">
        <v>41</v>
      </c>
      <c r="BB15" s="22">
        <v>0.96</v>
      </c>
      <c r="BC15" s="23">
        <f t="shared" ref="BC15" si="37">0.96*12*BC35</f>
        <v>5837.1839999999993</v>
      </c>
      <c r="BD15" s="23" t="s">
        <v>41</v>
      </c>
      <c r="BE15" s="22">
        <v>1.08</v>
      </c>
      <c r="BF15" s="23">
        <f>1.08*12*BF35</f>
        <v>8582.112000000001</v>
      </c>
      <c r="BG15" s="23">
        <f t="shared" ref="BG15:BO15" si="38">1.08*12*BG35</f>
        <v>12798</v>
      </c>
      <c r="BH15" s="23">
        <f t="shared" si="38"/>
        <v>7571.2320000000009</v>
      </c>
      <c r="BI15" s="23">
        <f t="shared" si="38"/>
        <v>5180.1120000000001</v>
      </c>
      <c r="BJ15" s="23">
        <f t="shared" si="38"/>
        <v>11070.432000000001</v>
      </c>
      <c r="BK15" s="23">
        <f t="shared" si="38"/>
        <v>11232.432000000001</v>
      </c>
      <c r="BL15" s="23">
        <f t="shared" si="38"/>
        <v>7464.9600000000009</v>
      </c>
      <c r="BM15" s="23">
        <f t="shared" si="38"/>
        <v>7744.8960000000006</v>
      </c>
      <c r="BN15" s="23">
        <f t="shared" si="38"/>
        <v>7699.536000000001</v>
      </c>
      <c r="BO15" s="23">
        <f t="shared" si="38"/>
        <v>7730.64</v>
      </c>
      <c r="BP15" s="23" t="s">
        <v>41</v>
      </c>
      <c r="BQ15" s="22">
        <v>1.04</v>
      </c>
      <c r="BR15" s="23">
        <f>1.04*12*BR35</f>
        <v>3256.0319999999997</v>
      </c>
      <c r="BS15" s="23">
        <f t="shared" ref="BS15:CF15" si="39">1.04*12*BS35</f>
        <v>6190.08</v>
      </c>
      <c r="BT15" s="23">
        <f t="shared" si="39"/>
        <v>6527.04</v>
      </c>
      <c r="BU15" s="23">
        <f t="shared" si="39"/>
        <v>6474.6239999999998</v>
      </c>
      <c r="BV15" s="23">
        <f t="shared" si="39"/>
        <v>7299.5519999999997</v>
      </c>
      <c r="BW15" s="23">
        <f t="shared" si="39"/>
        <v>7268.3519999999999</v>
      </c>
      <c r="BX15" s="23">
        <f t="shared" si="39"/>
        <v>4097.1840000000002</v>
      </c>
      <c r="BY15" s="23">
        <f t="shared" si="39"/>
        <v>7491.7439999999997</v>
      </c>
      <c r="BZ15" s="23">
        <f t="shared" si="39"/>
        <v>7379.424</v>
      </c>
      <c r="CA15" s="23">
        <f t="shared" si="39"/>
        <v>6445.92</v>
      </c>
      <c r="CB15" s="23">
        <f t="shared" si="39"/>
        <v>3838.8480000000004</v>
      </c>
      <c r="CC15" s="23">
        <f t="shared" si="39"/>
        <v>8275.4880000000012</v>
      </c>
      <c r="CD15" s="23">
        <f t="shared" si="39"/>
        <v>6817.8239999999996</v>
      </c>
      <c r="CE15" s="23">
        <f t="shared" si="39"/>
        <v>5145.5039999999999</v>
      </c>
      <c r="CF15" s="23">
        <f t="shared" si="39"/>
        <v>4290.6240000000007</v>
      </c>
      <c r="CG15" s="55" t="s">
        <v>205</v>
      </c>
      <c r="CH15" s="55"/>
      <c r="CI15" s="55"/>
      <c r="CJ15" s="55"/>
      <c r="CK15" s="55"/>
      <c r="CL15" s="55"/>
      <c r="CM15" s="22" t="s">
        <v>207</v>
      </c>
      <c r="CN15" s="23">
        <v>0.19</v>
      </c>
      <c r="CO15" s="23">
        <f>0.19*12*CO35</f>
        <v>3548.82</v>
      </c>
    </row>
    <row r="16" spans="1:93" s="5" customFormat="1">
      <c r="A16" s="55" t="s">
        <v>31</v>
      </c>
      <c r="B16" s="55"/>
      <c r="C16" s="55"/>
      <c r="D16" s="55"/>
      <c r="E16" s="55"/>
      <c r="F16" s="55"/>
      <c r="G16" s="22" t="s">
        <v>13</v>
      </c>
      <c r="H16" s="23">
        <v>0.41</v>
      </c>
      <c r="I16" s="23">
        <f>0.41*12*I35</f>
        <v>3344.6159999999995</v>
      </c>
      <c r="J16" s="23">
        <f t="shared" ref="J16:AJ16" si="40">0.41*12*J35</f>
        <v>2237.616</v>
      </c>
      <c r="K16" s="23">
        <f t="shared" si="40"/>
        <v>2626.788</v>
      </c>
      <c r="L16" s="23">
        <f t="shared" si="40"/>
        <v>2570.2079999999996</v>
      </c>
      <c r="M16" s="23">
        <f t="shared" si="40"/>
        <v>1621.6320000000001</v>
      </c>
      <c r="N16" s="23">
        <f t="shared" si="40"/>
        <v>3674.2559999999999</v>
      </c>
      <c r="O16" s="23">
        <f t="shared" si="40"/>
        <v>1637.376</v>
      </c>
      <c r="P16" s="23">
        <f t="shared" si="40"/>
        <v>2608.0920000000001</v>
      </c>
      <c r="Q16" s="23">
        <f t="shared" si="40"/>
        <v>5242.26</v>
      </c>
      <c r="R16" s="23">
        <f t="shared" si="40"/>
        <v>2896.404</v>
      </c>
      <c r="S16" s="23">
        <f t="shared" si="40"/>
        <v>2431.4639999999999</v>
      </c>
      <c r="T16" s="23">
        <f t="shared" si="40"/>
        <v>3645.2279999999996</v>
      </c>
      <c r="U16" s="23">
        <f t="shared" si="40"/>
        <v>2893.4520000000002</v>
      </c>
      <c r="V16" s="23">
        <f t="shared" si="40"/>
        <v>2707.4759999999997</v>
      </c>
      <c r="W16" s="23">
        <f t="shared" si="40"/>
        <v>1919.7839999999999</v>
      </c>
      <c r="X16" s="23">
        <f t="shared" si="40"/>
        <v>1745.616</v>
      </c>
      <c r="Y16" s="23">
        <f t="shared" si="40"/>
        <v>2700.5879999999997</v>
      </c>
      <c r="Z16" s="23">
        <f t="shared" si="40"/>
        <v>4818.6480000000001</v>
      </c>
      <c r="AA16" s="23">
        <f t="shared" si="40"/>
        <v>3587.172</v>
      </c>
      <c r="AB16" s="23">
        <f t="shared" si="40"/>
        <v>2328.1439999999998</v>
      </c>
      <c r="AC16" s="23">
        <f t="shared" si="40"/>
        <v>2935.7640000000001</v>
      </c>
      <c r="AD16" s="23">
        <f t="shared" si="40"/>
        <v>2839.3319999999999</v>
      </c>
      <c r="AE16" s="23">
        <f t="shared" si="40"/>
        <v>2818.6679999999997</v>
      </c>
      <c r="AF16" s="23">
        <f t="shared" si="40"/>
        <v>2095.4279999999999</v>
      </c>
      <c r="AG16" s="23">
        <f t="shared" si="40"/>
        <v>2080.6679999999997</v>
      </c>
      <c r="AH16" s="23">
        <f t="shared" si="40"/>
        <v>2073.7799999999997</v>
      </c>
      <c r="AI16" s="23">
        <f t="shared" si="40"/>
        <v>2068.86</v>
      </c>
      <c r="AJ16" s="23">
        <f t="shared" si="40"/>
        <v>2030.9760000000001</v>
      </c>
      <c r="AK16" s="23" t="s">
        <v>13</v>
      </c>
      <c r="AL16" s="22">
        <v>0.95</v>
      </c>
      <c r="AM16" s="23">
        <f>0.95*12*AM35</f>
        <v>2974.2599999999993</v>
      </c>
      <c r="AN16" s="23">
        <f t="shared" ref="AN16:AZ16" si="41">0.95*12*AN35</f>
        <v>5654.4</v>
      </c>
      <c r="AO16" s="23">
        <f t="shared" si="41"/>
        <v>5962.1999999999989</v>
      </c>
      <c r="AP16" s="23">
        <f t="shared" si="41"/>
        <v>5914.3199999999988</v>
      </c>
      <c r="AQ16" s="23">
        <f t="shared" si="41"/>
        <v>6667.8599999999988</v>
      </c>
      <c r="AR16" s="23">
        <f t="shared" si="41"/>
        <v>6639.3599999999988</v>
      </c>
      <c r="AS16" s="23">
        <f t="shared" si="41"/>
        <v>3742.6199999999994</v>
      </c>
      <c r="AT16" s="23">
        <f t="shared" si="41"/>
        <v>6843.4199999999983</v>
      </c>
      <c r="AU16" s="23">
        <f t="shared" si="41"/>
        <v>6740.8199999999988</v>
      </c>
      <c r="AV16" s="23">
        <f t="shared" si="41"/>
        <v>3506.64</v>
      </c>
      <c r="AW16" s="23">
        <f t="shared" si="41"/>
        <v>7559.3399999999992</v>
      </c>
      <c r="AX16" s="23">
        <f t="shared" si="41"/>
        <v>6227.8199999999988</v>
      </c>
      <c r="AY16" s="23">
        <f t="shared" si="41"/>
        <v>4700.2199999999993</v>
      </c>
      <c r="AZ16" s="23">
        <f t="shared" si="41"/>
        <v>3919.3199999999997</v>
      </c>
      <c r="BA16" s="23" t="s">
        <v>13</v>
      </c>
      <c r="BB16" s="22">
        <v>0.47</v>
      </c>
      <c r="BC16" s="23">
        <f t="shared" ref="BC16" si="42">0.47*12*BC35</f>
        <v>2857.7879999999996</v>
      </c>
      <c r="BD16" s="23" t="s">
        <v>13</v>
      </c>
      <c r="BE16" s="22">
        <v>0.41</v>
      </c>
      <c r="BF16" s="23">
        <f>0.41*12*BF35</f>
        <v>3258.0240000000003</v>
      </c>
      <c r="BG16" s="23">
        <f t="shared" ref="BG16:BO16" si="43">0.41*12*BG35</f>
        <v>4858.5</v>
      </c>
      <c r="BH16" s="23">
        <f t="shared" si="43"/>
        <v>2874.2640000000001</v>
      </c>
      <c r="BI16" s="23">
        <f t="shared" si="43"/>
        <v>1966.5239999999999</v>
      </c>
      <c r="BJ16" s="23">
        <f t="shared" si="43"/>
        <v>4202.6639999999998</v>
      </c>
      <c r="BK16" s="23">
        <f t="shared" si="43"/>
        <v>4264.1639999999998</v>
      </c>
      <c r="BL16" s="23">
        <f t="shared" si="43"/>
        <v>2833.92</v>
      </c>
      <c r="BM16" s="23">
        <f t="shared" si="43"/>
        <v>2940.192</v>
      </c>
      <c r="BN16" s="23">
        <f t="shared" si="43"/>
        <v>2922.9720000000002</v>
      </c>
      <c r="BO16" s="23">
        <f t="shared" si="43"/>
        <v>2934.7799999999997</v>
      </c>
      <c r="BP16" s="23" t="s">
        <v>13</v>
      </c>
      <c r="BQ16" s="22">
        <v>0.95</v>
      </c>
      <c r="BR16" s="23">
        <f>0.95*12*BR35</f>
        <v>2974.2599999999993</v>
      </c>
      <c r="BS16" s="23">
        <f t="shared" ref="BS16:CF16" si="44">0.95*12*BS35</f>
        <v>5654.4</v>
      </c>
      <c r="BT16" s="23">
        <f t="shared" si="44"/>
        <v>5962.1999999999989</v>
      </c>
      <c r="BU16" s="23">
        <f t="shared" si="44"/>
        <v>5914.3199999999988</v>
      </c>
      <c r="BV16" s="23">
        <f t="shared" si="44"/>
        <v>6667.8599999999988</v>
      </c>
      <c r="BW16" s="23">
        <f t="shared" si="44"/>
        <v>6639.3599999999988</v>
      </c>
      <c r="BX16" s="23">
        <f t="shared" si="44"/>
        <v>3742.6199999999994</v>
      </c>
      <c r="BY16" s="23">
        <f t="shared" si="44"/>
        <v>6843.4199999999983</v>
      </c>
      <c r="BZ16" s="23">
        <f t="shared" si="44"/>
        <v>6740.8199999999988</v>
      </c>
      <c r="CA16" s="23">
        <f t="shared" si="44"/>
        <v>5888.0999999999995</v>
      </c>
      <c r="CB16" s="23">
        <f t="shared" si="44"/>
        <v>3506.64</v>
      </c>
      <c r="CC16" s="23">
        <f t="shared" si="44"/>
        <v>7559.3399999999992</v>
      </c>
      <c r="CD16" s="23">
        <f t="shared" si="44"/>
        <v>6227.8199999999988</v>
      </c>
      <c r="CE16" s="23">
        <f t="shared" si="44"/>
        <v>4700.2199999999993</v>
      </c>
      <c r="CF16" s="23">
        <f t="shared" si="44"/>
        <v>3919.3199999999997</v>
      </c>
      <c r="CG16" s="55" t="s">
        <v>206</v>
      </c>
      <c r="CH16" s="55"/>
      <c r="CI16" s="55"/>
      <c r="CJ16" s="55"/>
      <c r="CK16" s="55"/>
      <c r="CL16" s="55"/>
      <c r="CM16" s="22" t="s">
        <v>208</v>
      </c>
      <c r="CN16" s="23">
        <v>2.19</v>
      </c>
      <c r="CO16" s="23">
        <f>2.19*12*CO35</f>
        <v>40904.82</v>
      </c>
    </row>
    <row r="17" spans="1:93" s="5" customFormat="1">
      <c r="A17" s="55" t="s">
        <v>32</v>
      </c>
      <c r="B17" s="55"/>
      <c r="C17" s="55"/>
      <c r="D17" s="55"/>
      <c r="E17" s="55"/>
      <c r="F17" s="55"/>
      <c r="G17" s="22" t="s">
        <v>42</v>
      </c>
      <c r="H17" s="23">
        <v>0.32</v>
      </c>
      <c r="I17" s="23">
        <f>0.32*12*I35</f>
        <v>2610.4319999999998</v>
      </c>
      <c r="J17" s="23">
        <f t="shared" ref="J17:AJ17" si="45">0.32*12*J35</f>
        <v>1746.432</v>
      </c>
      <c r="K17" s="23">
        <f t="shared" si="45"/>
        <v>2050.1759999999999</v>
      </c>
      <c r="L17" s="23">
        <f t="shared" si="45"/>
        <v>2006.0159999999998</v>
      </c>
      <c r="M17" s="23">
        <f t="shared" si="45"/>
        <v>1265.664</v>
      </c>
      <c r="N17" s="23">
        <f t="shared" si="45"/>
        <v>2867.7119999999995</v>
      </c>
      <c r="O17" s="23">
        <f t="shared" si="45"/>
        <v>1277.952</v>
      </c>
      <c r="P17" s="23">
        <f t="shared" si="45"/>
        <v>2035.5840000000001</v>
      </c>
      <c r="Q17" s="23">
        <f t="shared" si="45"/>
        <v>4091.52</v>
      </c>
      <c r="R17" s="23">
        <f t="shared" si="45"/>
        <v>2260.6080000000002</v>
      </c>
      <c r="S17" s="23">
        <f t="shared" si="45"/>
        <v>1897.7279999999998</v>
      </c>
      <c r="T17" s="23">
        <f t="shared" si="45"/>
        <v>2845.0559999999996</v>
      </c>
      <c r="U17" s="23">
        <f t="shared" si="45"/>
        <v>2258.3040000000001</v>
      </c>
      <c r="V17" s="23">
        <f t="shared" si="45"/>
        <v>2113.1519999999996</v>
      </c>
      <c r="W17" s="23">
        <f t="shared" si="45"/>
        <v>1498.3679999999999</v>
      </c>
      <c r="X17" s="23">
        <f t="shared" si="45"/>
        <v>1362.432</v>
      </c>
      <c r="Y17" s="23">
        <f t="shared" si="45"/>
        <v>2107.7759999999998</v>
      </c>
      <c r="Z17" s="23">
        <f t="shared" si="45"/>
        <v>3760.8959999999997</v>
      </c>
      <c r="AA17" s="23">
        <f t="shared" si="45"/>
        <v>2799.7440000000001</v>
      </c>
      <c r="AB17" s="23">
        <f t="shared" si="45"/>
        <v>1817.088</v>
      </c>
      <c r="AC17" s="23">
        <f t="shared" si="45"/>
        <v>2291.328</v>
      </c>
      <c r="AD17" s="23">
        <f t="shared" si="45"/>
        <v>2216.0639999999999</v>
      </c>
      <c r="AE17" s="23">
        <f t="shared" si="45"/>
        <v>2199.9359999999997</v>
      </c>
      <c r="AF17" s="23">
        <f t="shared" si="45"/>
        <v>1635.4559999999999</v>
      </c>
      <c r="AG17" s="23">
        <f t="shared" si="45"/>
        <v>1623.9359999999999</v>
      </c>
      <c r="AH17" s="23">
        <f t="shared" si="45"/>
        <v>1618.56</v>
      </c>
      <c r="AI17" s="23">
        <f t="shared" si="45"/>
        <v>1614.72</v>
      </c>
      <c r="AJ17" s="23">
        <f t="shared" si="45"/>
        <v>1585.152</v>
      </c>
      <c r="AK17" s="23" t="s">
        <v>42</v>
      </c>
      <c r="AL17" s="22">
        <v>0.24</v>
      </c>
      <c r="AM17" s="23">
        <f>0.24*12*AM35</f>
        <v>751.39199999999994</v>
      </c>
      <c r="AN17" s="23">
        <f t="shared" ref="AN17:AZ17" si="46">0.24*12*AN35</f>
        <v>1428.48</v>
      </c>
      <c r="AO17" s="23">
        <f t="shared" si="46"/>
        <v>1506.24</v>
      </c>
      <c r="AP17" s="23">
        <f t="shared" si="46"/>
        <v>1494.1439999999998</v>
      </c>
      <c r="AQ17" s="23">
        <f t="shared" si="46"/>
        <v>1684.5119999999999</v>
      </c>
      <c r="AR17" s="23">
        <f t="shared" si="46"/>
        <v>1677.3119999999999</v>
      </c>
      <c r="AS17" s="23">
        <f t="shared" si="46"/>
        <v>945.50400000000002</v>
      </c>
      <c r="AT17" s="23">
        <f t="shared" si="46"/>
        <v>1728.8639999999998</v>
      </c>
      <c r="AU17" s="23">
        <f t="shared" si="46"/>
        <v>1702.9439999999997</v>
      </c>
      <c r="AV17" s="23">
        <f t="shared" si="46"/>
        <v>885.88800000000003</v>
      </c>
      <c r="AW17" s="23">
        <f t="shared" si="46"/>
        <v>1909.7280000000001</v>
      </c>
      <c r="AX17" s="23">
        <f t="shared" si="46"/>
        <v>1573.3439999999998</v>
      </c>
      <c r="AY17" s="23">
        <f t="shared" si="46"/>
        <v>1187.424</v>
      </c>
      <c r="AZ17" s="23">
        <f t="shared" si="46"/>
        <v>990.14400000000001</v>
      </c>
      <c r="BA17" s="23" t="s">
        <v>42</v>
      </c>
      <c r="BB17" s="22">
        <v>0.23</v>
      </c>
      <c r="BC17" s="23">
        <f t="shared" ref="BC17" si="47">0.23*12*BC35</f>
        <v>1398.4920000000002</v>
      </c>
      <c r="BD17" s="23" t="s">
        <v>42</v>
      </c>
      <c r="BE17" s="22">
        <v>0.32</v>
      </c>
      <c r="BF17" s="23">
        <f>0.32*12*BF35</f>
        <v>2542.848</v>
      </c>
      <c r="BG17" s="23">
        <f t="shared" ref="BG17:BO17" si="48">0.32*12*BG35</f>
        <v>3792</v>
      </c>
      <c r="BH17" s="23">
        <f t="shared" si="48"/>
        <v>2243.328</v>
      </c>
      <c r="BI17" s="23">
        <f t="shared" si="48"/>
        <v>1534.848</v>
      </c>
      <c r="BJ17" s="23">
        <f t="shared" si="48"/>
        <v>3280.1280000000002</v>
      </c>
      <c r="BK17" s="23">
        <f t="shared" si="48"/>
        <v>3328.1280000000002</v>
      </c>
      <c r="BL17" s="23">
        <f t="shared" si="48"/>
        <v>2211.84</v>
      </c>
      <c r="BM17" s="23">
        <f t="shared" si="48"/>
        <v>2294.7840000000001</v>
      </c>
      <c r="BN17" s="23">
        <f t="shared" si="48"/>
        <v>2281.3440000000001</v>
      </c>
      <c r="BO17" s="23">
        <f t="shared" si="48"/>
        <v>2290.56</v>
      </c>
      <c r="BP17" s="23" t="s">
        <v>42</v>
      </c>
      <c r="BQ17" s="22">
        <v>0.24</v>
      </c>
      <c r="BR17" s="23">
        <f>0.24*12*BR35</f>
        <v>751.39199999999994</v>
      </c>
      <c r="BS17" s="23">
        <f t="shared" ref="BS17:CF17" si="49">0.24*12*BS35</f>
        <v>1428.48</v>
      </c>
      <c r="BT17" s="23">
        <f t="shared" si="49"/>
        <v>1506.24</v>
      </c>
      <c r="BU17" s="23">
        <f t="shared" si="49"/>
        <v>1494.1439999999998</v>
      </c>
      <c r="BV17" s="23">
        <f t="shared" si="49"/>
        <v>1684.5119999999999</v>
      </c>
      <c r="BW17" s="23">
        <f t="shared" si="49"/>
        <v>1677.3119999999999</v>
      </c>
      <c r="BX17" s="23">
        <f t="shared" si="49"/>
        <v>945.50400000000002</v>
      </c>
      <c r="BY17" s="23">
        <f t="shared" si="49"/>
        <v>1728.8639999999998</v>
      </c>
      <c r="BZ17" s="23">
        <f t="shared" si="49"/>
        <v>1702.9439999999997</v>
      </c>
      <c r="CA17" s="23">
        <f t="shared" si="49"/>
        <v>1487.52</v>
      </c>
      <c r="CB17" s="23">
        <f t="shared" si="49"/>
        <v>885.88800000000003</v>
      </c>
      <c r="CC17" s="23">
        <f t="shared" si="49"/>
        <v>1909.7280000000001</v>
      </c>
      <c r="CD17" s="23">
        <f t="shared" si="49"/>
        <v>1573.3439999999998</v>
      </c>
      <c r="CE17" s="23">
        <f t="shared" si="49"/>
        <v>1187.424</v>
      </c>
      <c r="CF17" s="23">
        <f t="shared" si="49"/>
        <v>990.14400000000001</v>
      </c>
      <c r="CG17" s="55" t="s">
        <v>209</v>
      </c>
      <c r="CH17" s="55"/>
      <c r="CI17" s="55"/>
      <c r="CJ17" s="55"/>
      <c r="CK17" s="55"/>
      <c r="CL17" s="55"/>
      <c r="CM17" s="22" t="s">
        <v>13</v>
      </c>
      <c r="CN17" s="23">
        <v>0.23</v>
      </c>
      <c r="CO17" s="23">
        <f>0.23*12*CO35</f>
        <v>4295.9400000000005</v>
      </c>
    </row>
    <row r="18" spans="1:93" s="5" customFormat="1" ht="50.25" customHeight="1">
      <c r="A18" s="54" t="s">
        <v>33</v>
      </c>
      <c r="B18" s="54"/>
      <c r="C18" s="54"/>
      <c r="D18" s="54"/>
      <c r="E18" s="54"/>
      <c r="F18" s="54"/>
      <c r="G18" s="24" t="s">
        <v>12</v>
      </c>
      <c r="H18" s="23">
        <v>0.17</v>
      </c>
      <c r="I18" s="23">
        <f>0.17*12*I35</f>
        <v>1386.7919999999999</v>
      </c>
      <c r="J18" s="23">
        <f t="shared" ref="J18:AJ18" si="50">0.17*12*J35</f>
        <v>927.79200000000003</v>
      </c>
      <c r="K18" s="23">
        <f t="shared" si="50"/>
        <v>1089.1559999999999</v>
      </c>
      <c r="L18" s="23">
        <f t="shared" si="50"/>
        <v>1065.6959999999999</v>
      </c>
      <c r="M18" s="23">
        <f t="shared" si="50"/>
        <v>672.38400000000001</v>
      </c>
      <c r="N18" s="23">
        <f t="shared" si="50"/>
        <v>1523.472</v>
      </c>
      <c r="O18" s="23">
        <f t="shared" si="50"/>
        <v>678.91200000000003</v>
      </c>
      <c r="P18" s="23">
        <f t="shared" si="50"/>
        <v>1081.404</v>
      </c>
      <c r="Q18" s="23">
        <f t="shared" si="50"/>
        <v>2173.62</v>
      </c>
      <c r="R18" s="23">
        <f t="shared" si="50"/>
        <v>1200.9480000000001</v>
      </c>
      <c r="S18" s="23">
        <f t="shared" si="50"/>
        <v>1008.168</v>
      </c>
      <c r="T18" s="23">
        <f t="shared" si="50"/>
        <v>1511.4359999999999</v>
      </c>
      <c r="U18" s="23">
        <f t="shared" si="50"/>
        <v>1199.7240000000002</v>
      </c>
      <c r="V18" s="23">
        <f t="shared" si="50"/>
        <v>1122.6119999999999</v>
      </c>
      <c r="W18" s="23">
        <f t="shared" si="50"/>
        <v>796.00800000000004</v>
      </c>
      <c r="X18" s="23">
        <f t="shared" si="50"/>
        <v>723.79200000000003</v>
      </c>
      <c r="Y18" s="23">
        <f t="shared" si="50"/>
        <v>1119.7560000000001</v>
      </c>
      <c r="Z18" s="23">
        <f t="shared" si="50"/>
        <v>1997.9759999999999</v>
      </c>
      <c r="AA18" s="23">
        <f t="shared" si="50"/>
        <v>1487.364</v>
      </c>
      <c r="AB18" s="23">
        <f t="shared" si="50"/>
        <v>965.32799999999997</v>
      </c>
      <c r="AC18" s="23">
        <f t="shared" si="50"/>
        <v>1217.268</v>
      </c>
      <c r="AD18" s="23">
        <f t="shared" si="50"/>
        <v>1177.2840000000001</v>
      </c>
      <c r="AE18" s="23">
        <f t="shared" si="50"/>
        <v>1168.7159999999999</v>
      </c>
      <c r="AF18" s="23">
        <f t="shared" si="50"/>
        <v>868.83600000000001</v>
      </c>
      <c r="AG18" s="23">
        <f t="shared" si="50"/>
        <v>862.71600000000001</v>
      </c>
      <c r="AH18" s="23">
        <f t="shared" si="50"/>
        <v>859.86</v>
      </c>
      <c r="AI18" s="23">
        <f t="shared" si="50"/>
        <v>857.82</v>
      </c>
      <c r="AJ18" s="23">
        <f t="shared" si="50"/>
        <v>842.11200000000008</v>
      </c>
      <c r="AK18" s="25" t="s">
        <v>12</v>
      </c>
      <c r="AL18" s="22">
        <v>0.2</v>
      </c>
      <c r="AM18" s="23">
        <f>0.2*12*AM35</f>
        <v>626.16000000000008</v>
      </c>
      <c r="AN18" s="23">
        <f t="shared" ref="AN18:AZ18" si="51">0.2*12*AN35</f>
        <v>1190.4000000000001</v>
      </c>
      <c r="AO18" s="23">
        <f t="shared" si="51"/>
        <v>1255.2000000000003</v>
      </c>
      <c r="AP18" s="23">
        <f t="shared" si="51"/>
        <v>1245.1200000000001</v>
      </c>
      <c r="AQ18" s="23">
        <f t="shared" si="51"/>
        <v>1403.7600000000002</v>
      </c>
      <c r="AR18" s="23">
        <f t="shared" si="51"/>
        <v>1397.7600000000002</v>
      </c>
      <c r="AS18" s="23">
        <f t="shared" si="51"/>
        <v>787.92000000000019</v>
      </c>
      <c r="AT18" s="23">
        <f t="shared" si="51"/>
        <v>1440.72</v>
      </c>
      <c r="AU18" s="23">
        <f t="shared" si="51"/>
        <v>1419.1200000000001</v>
      </c>
      <c r="AV18" s="23">
        <f t="shared" si="51"/>
        <v>738.24000000000012</v>
      </c>
      <c r="AW18" s="23">
        <f t="shared" si="51"/>
        <v>1591.4400000000003</v>
      </c>
      <c r="AX18" s="23">
        <f t="shared" si="51"/>
        <v>1311.1200000000001</v>
      </c>
      <c r="AY18" s="23">
        <f t="shared" si="51"/>
        <v>989.52000000000021</v>
      </c>
      <c r="AZ18" s="23">
        <f t="shared" si="51"/>
        <v>825.12000000000012</v>
      </c>
      <c r="BA18" s="25" t="s">
        <v>12</v>
      </c>
      <c r="BB18" s="22">
        <v>0.15</v>
      </c>
      <c r="BC18" s="23">
        <f t="shared" ref="BC18" si="52">0.15*12*BC35</f>
        <v>912.06</v>
      </c>
      <c r="BD18" s="25" t="s">
        <v>12</v>
      </c>
      <c r="BE18" s="22">
        <v>0.17</v>
      </c>
      <c r="BF18" s="23">
        <f>0.17*12*BF35</f>
        <v>1350.8880000000001</v>
      </c>
      <c r="BG18" s="23">
        <f t="shared" ref="BG18:BO18" si="53">0.17*12*BG35</f>
        <v>2014.5</v>
      </c>
      <c r="BH18" s="23">
        <f t="shared" si="53"/>
        <v>1191.768</v>
      </c>
      <c r="BI18" s="23">
        <f t="shared" si="53"/>
        <v>815.38800000000003</v>
      </c>
      <c r="BJ18" s="23">
        <f t="shared" si="53"/>
        <v>1742.5680000000002</v>
      </c>
      <c r="BK18" s="23">
        <f t="shared" si="53"/>
        <v>1768.0680000000002</v>
      </c>
      <c r="BL18" s="23">
        <f t="shared" si="53"/>
        <v>1175.04</v>
      </c>
      <c r="BM18" s="23">
        <f t="shared" si="53"/>
        <v>1219.104</v>
      </c>
      <c r="BN18" s="23">
        <f t="shared" si="53"/>
        <v>1211.9640000000002</v>
      </c>
      <c r="BO18" s="23">
        <f t="shared" si="53"/>
        <v>1216.8600000000001</v>
      </c>
      <c r="BP18" s="25" t="s">
        <v>12</v>
      </c>
      <c r="BQ18" s="22">
        <v>0.2</v>
      </c>
      <c r="BR18" s="23">
        <f>0.2*12*BR35</f>
        <v>626.16000000000008</v>
      </c>
      <c r="BS18" s="23">
        <f t="shared" ref="BS18:CF18" si="54">0.2*12*BS35</f>
        <v>1190.4000000000001</v>
      </c>
      <c r="BT18" s="23">
        <f t="shared" si="54"/>
        <v>1255.2000000000003</v>
      </c>
      <c r="BU18" s="23">
        <f t="shared" si="54"/>
        <v>1245.1200000000001</v>
      </c>
      <c r="BV18" s="23">
        <f t="shared" si="54"/>
        <v>1403.7600000000002</v>
      </c>
      <c r="BW18" s="23">
        <f t="shared" si="54"/>
        <v>1397.7600000000002</v>
      </c>
      <c r="BX18" s="23">
        <f t="shared" si="54"/>
        <v>787.92000000000019</v>
      </c>
      <c r="BY18" s="23">
        <f t="shared" si="54"/>
        <v>1440.72</v>
      </c>
      <c r="BZ18" s="23">
        <f t="shared" si="54"/>
        <v>1419.1200000000001</v>
      </c>
      <c r="CA18" s="23">
        <f t="shared" si="54"/>
        <v>1239.6000000000001</v>
      </c>
      <c r="CB18" s="23">
        <f t="shared" si="54"/>
        <v>738.24000000000012</v>
      </c>
      <c r="CC18" s="23">
        <f t="shared" si="54"/>
        <v>1591.4400000000003</v>
      </c>
      <c r="CD18" s="23">
        <f t="shared" si="54"/>
        <v>1311.1200000000001</v>
      </c>
      <c r="CE18" s="23">
        <f t="shared" si="54"/>
        <v>989.52000000000021</v>
      </c>
      <c r="CF18" s="23">
        <f t="shared" si="54"/>
        <v>825.12000000000012</v>
      </c>
      <c r="CG18" s="54" t="s">
        <v>210</v>
      </c>
      <c r="CH18" s="54"/>
      <c r="CI18" s="54"/>
      <c r="CJ18" s="54"/>
      <c r="CK18" s="54"/>
      <c r="CL18" s="54"/>
      <c r="CM18" s="24" t="s">
        <v>12</v>
      </c>
      <c r="CN18" s="23">
        <v>0.19</v>
      </c>
      <c r="CO18" s="23">
        <f>0.19*12*CO35</f>
        <v>3548.82</v>
      </c>
    </row>
    <row r="19" spans="1:93" s="5" customFormat="1" ht="12.75" customHeight="1">
      <c r="A19" s="54" t="s">
        <v>34</v>
      </c>
      <c r="B19" s="55"/>
      <c r="C19" s="55"/>
      <c r="D19" s="55"/>
      <c r="E19" s="55"/>
      <c r="F19" s="55"/>
      <c r="G19" s="22" t="s">
        <v>43</v>
      </c>
      <c r="H19" s="23">
        <v>0.05</v>
      </c>
      <c r="I19" s="23">
        <f>0.05*12*I35</f>
        <v>407.88000000000005</v>
      </c>
      <c r="J19" s="23">
        <f t="shared" ref="J19:AJ19" si="55">0.05*12*J35</f>
        <v>272.88000000000005</v>
      </c>
      <c r="K19" s="23">
        <f t="shared" si="55"/>
        <v>320.34000000000003</v>
      </c>
      <c r="L19" s="23">
        <f t="shared" si="55"/>
        <v>313.44000000000005</v>
      </c>
      <c r="M19" s="23">
        <f t="shared" si="55"/>
        <v>197.76000000000005</v>
      </c>
      <c r="N19" s="23">
        <f t="shared" si="55"/>
        <v>448.08000000000004</v>
      </c>
      <c r="O19" s="23">
        <f t="shared" si="55"/>
        <v>199.68000000000004</v>
      </c>
      <c r="P19" s="23">
        <f t="shared" si="55"/>
        <v>318.06000000000006</v>
      </c>
      <c r="Q19" s="23">
        <f t="shared" si="55"/>
        <v>639.30000000000007</v>
      </c>
      <c r="R19" s="23">
        <f t="shared" si="55"/>
        <v>353.22000000000008</v>
      </c>
      <c r="S19" s="23">
        <f t="shared" si="55"/>
        <v>296.52000000000004</v>
      </c>
      <c r="T19" s="23">
        <f t="shared" si="55"/>
        <v>444.54000000000008</v>
      </c>
      <c r="U19" s="23">
        <f t="shared" si="55"/>
        <v>352.86000000000007</v>
      </c>
      <c r="V19" s="23">
        <f t="shared" si="55"/>
        <v>330.18</v>
      </c>
      <c r="W19" s="23">
        <f t="shared" si="55"/>
        <v>234.12000000000003</v>
      </c>
      <c r="X19" s="23">
        <f t="shared" si="55"/>
        <v>212.88000000000005</v>
      </c>
      <c r="Y19" s="23">
        <f t="shared" si="55"/>
        <v>329.34000000000003</v>
      </c>
      <c r="Z19" s="23">
        <f t="shared" si="55"/>
        <v>587.6400000000001</v>
      </c>
      <c r="AA19" s="23">
        <f t="shared" si="55"/>
        <v>437.46000000000009</v>
      </c>
      <c r="AB19" s="23">
        <f t="shared" si="55"/>
        <v>283.92</v>
      </c>
      <c r="AC19" s="23">
        <f t="shared" si="55"/>
        <v>358.0200000000001</v>
      </c>
      <c r="AD19" s="23">
        <f t="shared" si="55"/>
        <v>346.26000000000005</v>
      </c>
      <c r="AE19" s="23">
        <f t="shared" si="55"/>
        <v>343.74</v>
      </c>
      <c r="AF19" s="23">
        <f t="shared" si="55"/>
        <v>255.54000000000002</v>
      </c>
      <c r="AG19" s="23">
        <f t="shared" si="55"/>
        <v>253.74000000000004</v>
      </c>
      <c r="AH19" s="23">
        <f t="shared" si="55"/>
        <v>252.90000000000003</v>
      </c>
      <c r="AI19" s="23">
        <f t="shared" si="55"/>
        <v>252.30000000000004</v>
      </c>
      <c r="AJ19" s="23">
        <f t="shared" si="55"/>
        <v>247.68000000000004</v>
      </c>
      <c r="AK19" s="23" t="s">
        <v>43</v>
      </c>
      <c r="AL19" s="22">
        <v>0.05</v>
      </c>
      <c r="AM19" s="23">
        <f t="shared" ref="AM19:AZ19" si="56">0.05*12*AM35</f>
        <v>156.54000000000002</v>
      </c>
      <c r="AN19" s="23">
        <f t="shared" si="56"/>
        <v>297.60000000000002</v>
      </c>
      <c r="AO19" s="23">
        <f t="shared" si="56"/>
        <v>313.80000000000007</v>
      </c>
      <c r="AP19" s="23">
        <f t="shared" si="56"/>
        <v>311.28000000000003</v>
      </c>
      <c r="AQ19" s="23">
        <f t="shared" si="56"/>
        <v>350.94000000000005</v>
      </c>
      <c r="AR19" s="23">
        <f t="shared" si="56"/>
        <v>349.44000000000005</v>
      </c>
      <c r="AS19" s="23">
        <f t="shared" si="56"/>
        <v>196.98000000000005</v>
      </c>
      <c r="AT19" s="23">
        <f t="shared" si="56"/>
        <v>360.18</v>
      </c>
      <c r="AU19" s="23">
        <f t="shared" si="56"/>
        <v>354.78000000000003</v>
      </c>
      <c r="AV19" s="23">
        <f t="shared" si="56"/>
        <v>184.56000000000003</v>
      </c>
      <c r="AW19" s="23">
        <f t="shared" si="56"/>
        <v>397.86000000000007</v>
      </c>
      <c r="AX19" s="23">
        <f t="shared" si="56"/>
        <v>327.78000000000003</v>
      </c>
      <c r="AY19" s="23">
        <f t="shared" si="56"/>
        <v>247.38000000000005</v>
      </c>
      <c r="AZ19" s="23">
        <f t="shared" si="56"/>
        <v>206.28000000000003</v>
      </c>
      <c r="BA19" s="23" t="s">
        <v>43</v>
      </c>
      <c r="BB19" s="22">
        <v>0.05</v>
      </c>
      <c r="BC19" s="23">
        <f t="shared" ref="BC19" si="57">0.05*12*BC35</f>
        <v>304.02000000000004</v>
      </c>
      <c r="BD19" s="23" t="s">
        <v>43</v>
      </c>
      <c r="BE19" s="22">
        <v>0.05</v>
      </c>
      <c r="BF19" s="23">
        <f t="shared" ref="BF19:BO19" si="58">0.05*12*BF35</f>
        <v>397.32000000000011</v>
      </c>
      <c r="BG19" s="23">
        <f t="shared" si="58"/>
        <v>592.50000000000011</v>
      </c>
      <c r="BH19" s="23">
        <f t="shared" si="58"/>
        <v>350.5200000000001</v>
      </c>
      <c r="BI19" s="23">
        <f t="shared" si="58"/>
        <v>239.82000000000002</v>
      </c>
      <c r="BJ19" s="23">
        <f t="shared" si="58"/>
        <v>512.5200000000001</v>
      </c>
      <c r="BK19" s="23">
        <f t="shared" si="58"/>
        <v>520.0200000000001</v>
      </c>
      <c r="BL19" s="23">
        <f t="shared" si="58"/>
        <v>345.6</v>
      </c>
      <c r="BM19" s="23">
        <f t="shared" si="58"/>
        <v>358.56000000000006</v>
      </c>
      <c r="BN19" s="23">
        <f t="shared" si="58"/>
        <v>356.46000000000009</v>
      </c>
      <c r="BO19" s="23">
        <f t="shared" si="58"/>
        <v>357.90000000000003</v>
      </c>
      <c r="BP19" s="23" t="s">
        <v>43</v>
      </c>
      <c r="BQ19" s="22">
        <v>0.05</v>
      </c>
      <c r="BR19" s="23">
        <f>0.05*12*BR35</f>
        <v>156.54000000000002</v>
      </c>
      <c r="BS19" s="23">
        <f t="shared" ref="BS19:CF19" si="59">0.05*12*BS35</f>
        <v>297.60000000000002</v>
      </c>
      <c r="BT19" s="23">
        <f t="shared" si="59"/>
        <v>313.80000000000007</v>
      </c>
      <c r="BU19" s="23">
        <f t="shared" si="59"/>
        <v>311.28000000000003</v>
      </c>
      <c r="BV19" s="23">
        <f t="shared" si="59"/>
        <v>350.94000000000005</v>
      </c>
      <c r="BW19" s="23">
        <f t="shared" si="59"/>
        <v>349.44000000000005</v>
      </c>
      <c r="BX19" s="23">
        <f t="shared" si="59"/>
        <v>196.98000000000005</v>
      </c>
      <c r="BY19" s="23">
        <f t="shared" si="59"/>
        <v>360.18</v>
      </c>
      <c r="BZ19" s="23">
        <f t="shared" si="59"/>
        <v>354.78000000000003</v>
      </c>
      <c r="CA19" s="23">
        <f t="shared" si="59"/>
        <v>309.90000000000003</v>
      </c>
      <c r="CB19" s="23">
        <f t="shared" si="59"/>
        <v>184.56000000000003</v>
      </c>
      <c r="CC19" s="23">
        <f t="shared" si="59"/>
        <v>397.86000000000007</v>
      </c>
      <c r="CD19" s="23">
        <f t="shared" si="59"/>
        <v>327.78000000000003</v>
      </c>
      <c r="CE19" s="23">
        <f t="shared" si="59"/>
        <v>247.38000000000005</v>
      </c>
      <c r="CF19" s="23">
        <f t="shared" si="59"/>
        <v>206.28000000000003</v>
      </c>
      <c r="CG19" s="54" t="s">
        <v>211</v>
      </c>
      <c r="CH19" s="54"/>
      <c r="CI19" s="54"/>
      <c r="CJ19" s="54"/>
      <c r="CK19" s="54"/>
      <c r="CL19" s="54"/>
      <c r="CM19" s="22" t="s">
        <v>208</v>
      </c>
      <c r="CN19" s="23">
        <v>0.16</v>
      </c>
      <c r="CO19" s="23">
        <f>0.16*12*CO35</f>
        <v>2988.48</v>
      </c>
    </row>
    <row r="20" spans="1:93" s="5" customFormat="1" ht="48">
      <c r="A20" s="55" t="s">
        <v>35</v>
      </c>
      <c r="B20" s="55"/>
      <c r="C20" s="55"/>
      <c r="D20" s="55"/>
      <c r="E20" s="55"/>
      <c r="F20" s="55"/>
      <c r="G20" s="26" t="s">
        <v>48</v>
      </c>
      <c r="H20" s="23">
        <v>2.62</v>
      </c>
      <c r="I20" s="23">
        <f>2.62*12*I35</f>
        <v>21372.912</v>
      </c>
      <c r="J20" s="23">
        <f t="shared" ref="J20:AJ20" si="60">2.62*12*J35</f>
        <v>14298.912</v>
      </c>
      <c r="K20" s="23">
        <f t="shared" si="60"/>
        <v>16785.815999999999</v>
      </c>
      <c r="L20" s="23">
        <f t="shared" si="60"/>
        <v>16424.256000000001</v>
      </c>
      <c r="M20" s="23">
        <f t="shared" si="60"/>
        <v>10362.624000000002</v>
      </c>
      <c r="N20" s="23">
        <f t="shared" si="60"/>
        <v>23479.392</v>
      </c>
      <c r="O20" s="23">
        <f t="shared" si="60"/>
        <v>10463.232</v>
      </c>
      <c r="P20" s="23">
        <f t="shared" si="60"/>
        <v>16666.344000000001</v>
      </c>
      <c r="Q20" s="23">
        <f t="shared" si="60"/>
        <v>33499.32</v>
      </c>
      <c r="R20" s="23">
        <f t="shared" si="60"/>
        <v>18508.728000000003</v>
      </c>
      <c r="S20" s="23">
        <f t="shared" si="60"/>
        <v>15537.648000000001</v>
      </c>
      <c r="T20" s="23">
        <f t="shared" si="60"/>
        <v>23293.896000000001</v>
      </c>
      <c r="U20" s="23">
        <f t="shared" si="60"/>
        <v>18489.864000000001</v>
      </c>
      <c r="V20" s="23">
        <f t="shared" si="60"/>
        <v>17301.432000000001</v>
      </c>
      <c r="W20" s="23">
        <f t="shared" si="60"/>
        <v>12267.888000000001</v>
      </c>
      <c r="X20" s="23">
        <f t="shared" si="60"/>
        <v>11154.912</v>
      </c>
      <c r="Y20" s="23">
        <f t="shared" si="60"/>
        <v>17257.416000000001</v>
      </c>
      <c r="Z20" s="23">
        <f t="shared" si="60"/>
        <v>30792.335999999999</v>
      </c>
      <c r="AA20" s="23">
        <f t="shared" si="60"/>
        <v>22922.904000000002</v>
      </c>
      <c r="AB20" s="23">
        <f t="shared" si="60"/>
        <v>14877.407999999999</v>
      </c>
      <c r="AC20" s="23">
        <f t="shared" si="60"/>
        <v>18760.248000000003</v>
      </c>
      <c r="AD20" s="23">
        <f t="shared" si="60"/>
        <v>18144.024000000001</v>
      </c>
      <c r="AE20" s="23">
        <f t="shared" si="60"/>
        <v>18011.975999999999</v>
      </c>
      <c r="AF20" s="23">
        <f t="shared" si="60"/>
        <v>13390.296</v>
      </c>
      <c r="AG20" s="23">
        <f t="shared" si="60"/>
        <v>13295.976000000001</v>
      </c>
      <c r="AH20" s="23">
        <f t="shared" si="60"/>
        <v>13251.960000000001</v>
      </c>
      <c r="AI20" s="23">
        <f t="shared" si="60"/>
        <v>13220.52</v>
      </c>
      <c r="AJ20" s="23">
        <f t="shared" si="60"/>
        <v>12978.432000000001</v>
      </c>
      <c r="AK20" s="27" t="s">
        <v>48</v>
      </c>
      <c r="AL20" s="22">
        <v>2.62</v>
      </c>
      <c r="AM20" s="23">
        <f>2.62*12*AM35</f>
        <v>8202.6959999999999</v>
      </c>
      <c r="AN20" s="23">
        <f t="shared" ref="AN20:AZ20" si="61">2.62*12*AN35</f>
        <v>15594.24</v>
      </c>
      <c r="AO20" s="23">
        <f t="shared" si="61"/>
        <v>16443.12</v>
      </c>
      <c r="AP20" s="23">
        <f t="shared" si="61"/>
        <v>16311.072</v>
      </c>
      <c r="AQ20" s="23">
        <f t="shared" si="61"/>
        <v>18389.256000000001</v>
      </c>
      <c r="AR20" s="23">
        <f t="shared" si="61"/>
        <v>18310.655999999999</v>
      </c>
      <c r="AS20" s="23">
        <f t="shared" si="61"/>
        <v>10321.752</v>
      </c>
      <c r="AT20" s="23">
        <f t="shared" si="61"/>
        <v>18873.432000000001</v>
      </c>
      <c r="AU20" s="23">
        <f t="shared" si="61"/>
        <v>18590.471999999998</v>
      </c>
      <c r="AV20" s="23">
        <f t="shared" si="61"/>
        <v>9670.9440000000013</v>
      </c>
      <c r="AW20" s="23">
        <f t="shared" si="61"/>
        <v>20847.864000000001</v>
      </c>
      <c r="AX20" s="23">
        <f t="shared" si="61"/>
        <v>17175.671999999999</v>
      </c>
      <c r="AY20" s="23">
        <f t="shared" si="61"/>
        <v>12962.712000000001</v>
      </c>
      <c r="AZ20" s="23">
        <f t="shared" si="61"/>
        <v>10809.072</v>
      </c>
      <c r="BA20" s="27" t="s">
        <v>48</v>
      </c>
      <c r="BB20" s="22">
        <v>3.89</v>
      </c>
      <c r="BC20" s="23">
        <f t="shared" ref="BC20" si="62">3.89*12*BC35</f>
        <v>23652.755999999998</v>
      </c>
      <c r="BD20" s="27" t="s">
        <v>48</v>
      </c>
      <c r="BE20" s="22">
        <v>2.62</v>
      </c>
      <c r="BF20" s="23">
        <f>2.62*12*BF35</f>
        <v>20819.568000000003</v>
      </c>
      <c r="BG20" s="23">
        <f t="shared" ref="BG20:BO20" si="63">2.62*12*BG35</f>
        <v>31047</v>
      </c>
      <c r="BH20" s="23">
        <f t="shared" si="63"/>
        <v>18367.248000000003</v>
      </c>
      <c r="BI20" s="23">
        <f t="shared" si="63"/>
        <v>12566.567999999999</v>
      </c>
      <c r="BJ20" s="23">
        <f t="shared" si="63"/>
        <v>26856.048000000003</v>
      </c>
      <c r="BK20" s="23">
        <f t="shared" si="63"/>
        <v>27249.048000000003</v>
      </c>
      <c r="BL20" s="23">
        <f t="shared" si="63"/>
        <v>18109.440000000002</v>
      </c>
      <c r="BM20" s="23">
        <f t="shared" si="63"/>
        <v>18788.544000000002</v>
      </c>
      <c r="BN20" s="23">
        <f t="shared" si="63"/>
        <v>18678.504000000001</v>
      </c>
      <c r="BO20" s="23">
        <f t="shared" si="63"/>
        <v>18753.96</v>
      </c>
      <c r="BP20" s="27" t="s">
        <v>48</v>
      </c>
      <c r="BQ20" s="22">
        <v>2.62</v>
      </c>
      <c r="BR20" s="23">
        <f>2.62*12*BR35</f>
        <v>8202.6959999999999</v>
      </c>
      <c r="BS20" s="23">
        <f t="shared" ref="BS20:CF20" si="64">2.62*12*BS35</f>
        <v>15594.24</v>
      </c>
      <c r="BT20" s="23">
        <f t="shared" si="64"/>
        <v>16443.12</v>
      </c>
      <c r="BU20" s="23">
        <f t="shared" si="64"/>
        <v>16311.072</v>
      </c>
      <c r="BV20" s="23">
        <f t="shared" si="64"/>
        <v>18389.256000000001</v>
      </c>
      <c r="BW20" s="23">
        <f t="shared" si="64"/>
        <v>18310.655999999999</v>
      </c>
      <c r="BX20" s="23">
        <f t="shared" si="64"/>
        <v>10321.752</v>
      </c>
      <c r="BY20" s="23">
        <f t="shared" si="64"/>
        <v>18873.432000000001</v>
      </c>
      <c r="BZ20" s="23">
        <f t="shared" si="64"/>
        <v>18590.471999999998</v>
      </c>
      <c r="CA20" s="23">
        <f t="shared" si="64"/>
        <v>16238.76</v>
      </c>
      <c r="CB20" s="23">
        <f t="shared" si="64"/>
        <v>9670.9440000000013</v>
      </c>
      <c r="CC20" s="23">
        <f t="shared" si="64"/>
        <v>20847.864000000001</v>
      </c>
      <c r="CD20" s="23">
        <f t="shared" si="64"/>
        <v>17175.671999999999</v>
      </c>
      <c r="CE20" s="23">
        <f t="shared" si="64"/>
        <v>12962.712000000001</v>
      </c>
      <c r="CF20" s="23">
        <f t="shared" si="64"/>
        <v>10809.072</v>
      </c>
      <c r="CG20" s="54" t="s">
        <v>212</v>
      </c>
      <c r="CH20" s="55"/>
      <c r="CI20" s="55"/>
      <c r="CJ20" s="55"/>
      <c r="CK20" s="55"/>
      <c r="CL20" s="55"/>
      <c r="CM20" s="24" t="s">
        <v>12</v>
      </c>
      <c r="CN20" s="23">
        <v>0.72</v>
      </c>
      <c r="CO20" s="23">
        <f>0.72*12*CO35</f>
        <v>13448.160000000002</v>
      </c>
    </row>
    <row r="21" spans="1:93" s="5" customFormat="1">
      <c r="A21" s="55" t="s">
        <v>36</v>
      </c>
      <c r="B21" s="55"/>
      <c r="C21" s="55"/>
      <c r="D21" s="55"/>
      <c r="E21" s="55"/>
      <c r="F21" s="55"/>
      <c r="G21" s="22" t="s">
        <v>4</v>
      </c>
      <c r="H21" s="23">
        <v>0</v>
      </c>
      <c r="I21" s="23">
        <f>0*12*I35</f>
        <v>0</v>
      </c>
      <c r="J21" s="23">
        <f t="shared" ref="J21:AJ21" si="65">0*12*J35</f>
        <v>0</v>
      </c>
      <c r="K21" s="23">
        <f t="shared" si="65"/>
        <v>0</v>
      </c>
      <c r="L21" s="23">
        <f t="shared" si="65"/>
        <v>0</v>
      </c>
      <c r="M21" s="23">
        <f t="shared" si="65"/>
        <v>0</v>
      </c>
      <c r="N21" s="23">
        <f t="shared" si="65"/>
        <v>0</v>
      </c>
      <c r="O21" s="23">
        <f t="shared" si="65"/>
        <v>0</v>
      </c>
      <c r="P21" s="23">
        <f t="shared" si="65"/>
        <v>0</v>
      </c>
      <c r="Q21" s="23">
        <f t="shared" si="65"/>
        <v>0</v>
      </c>
      <c r="R21" s="23">
        <f t="shared" si="65"/>
        <v>0</v>
      </c>
      <c r="S21" s="23">
        <f t="shared" si="65"/>
        <v>0</v>
      </c>
      <c r="T21" s="23">
        <f t="shared" si="65"/>
        <v>0</v>
      </c>
      <c r="U21" s="23">
        <f t="shared" si="65"/>
        <v>0</v>
      </c>
      <c r="V21" s="23">
        <f t="shared" si="65"/>
        <v>0</v>
      </c>
      <c r="W21" s="23">
        <f t="shared" si="65"/>
        <v>0</v>
      </c>
      <c r="X21" s="23">
        <f t="shared" si="65"/>
        <v>0</v>
      </c>
      <c r="Y21" s="23">
        <f t="shared" si="65"/>
        <v>0</v>
      </c>
      <c r="Z21" s="23">
        <f t="shared" si="65"/>
        <v>0</v>
      </c>
      <c r="AA21" s="23">
        <f t="shared" si="65"/>
        <v>0</v>
      </c>
      <c r="AB21" s="23">
        <f t="shared" si="65"/>
        <v>0</v>
      </c>
      <c r="AC21" s="23">
        <f t="shared" si="65"/>
        <v>0</v>
      </c>
      <c r="AD21" s="23">
        <f t="shared" si="65"/>
        <v>0</v>
      </c>
      <c r="AE21" s="23">
        <f t="shared" si="65"/>
        <v>0</v>
      </c>
      <c r="AF21" s="23">
        <f t="shared" si="65"/>
        <v>0</v>
      </c>
      <c r="AG21" s="23">
        <f t="shared" si="65"/>
        <v>0</v>
      </c>
      <c r="AH21" s="23">
        <f t="shared" si="65"/>
        <v>0</v>
      </c>
      <c r="AI21" s="23">
        <f t="shared" si="65"/>
        <v>0</v>
      </c>
      <c r="AJ21" s="23">
        <f t="shared" si="65"/>
        <v>0</v>
      </c>
      <c r="AK21" s="23" t="s">
        <v>4</v>
      </c>
      <c r="AL21" s="22">
        <v>0</v>
      </c>
      <c r="AM21" s="23">
        <f>0*12*AM35</f>
        <v>0</v>
      </c>
      <c r="AN21" s="23">
        <f t="shared" ref="AN21:AZ21" si="66">0*12*AN35</f>
        <v>0</v>
      </c>
      <c r="AO21" s="23">
        <f t="shared" si="66"/>
        <v>0</v>
      </c>
      <c r="AP21" s="23">
        <f t="shared" si="66"/>
        <v>0</v>
      </c>
      <c r="AQ21" s="23">
        <f t="shared" si="66"/>
        <v>0</v>
      </c>
      <c r="AR21" s="23">
        <f t="shared" si="66"/>
        <v>0</v>
      </c>
      <c r="AS21" s="23">
        <f t="shared" si="66"/>
        <v>0</v>
      </c>
      <c r="AT21" s="23">
        <f t="shared" si="66"/>
        <v>0</v>
      </c>
      <c r="AU21" s="23">
        <f t="shared" si="66"/>
        <v>0</v>
      </c>
      <c r="AV21" s="23">
        <f t="shared" si="66"/>
        <v>0</v>
      </c>
      <c r="AW21" s="23">
        <f t="shared" si="66"/>
        <v>0</v>
      </c>
      <c r="AX21" s="23">
        <f t="shared" si="66"/>
        <v>0</v>
      </c>
      <c r="AY21" s="23">
        <f t="shared" si="66"/>
        <v>0</v>
      </c>
      <c r="AZ21" s="23">
        <f t="shared" si="66"/>
        <v>0</v>
      </c>
      <c r="BA21" s="23" t="s">
        <v>4</v>
      </c>
      <c r="BB21" s="22">
        <v>4.7</v>
      </c>
      <c r="BC21" s="23">
        <f t="shared" ref="BC21" si="67">4.7*12*BC35</f>
        <v>28577.88</v>
      </c>
      <c r="BD21" s="23" t="s">
        <v>4</v>
      </c>
      <c r="BE21" s="22">
        <v>0</v>
      </c>
      <c r="BF21" s="23">
        <f>0*12*BF35</f>
        <v>0</v>
      </c>
      <c r="BG21" s="23">
        <f t="shared" ref="BG21:BO21" si="68">0*12*BG35</f>
        <v>0</v>
      </c>
      <c r="BH21" s="23">
        <f t="shared" si="68"/>
        <v>0</v>
      </c>
      <c r="BI21" s="23">
        <f t="shared" si="68"/>
        <v>0</v>
      </c>
      <c r="BJ21" s="23">
        <f t="shared" si="68"/>
        <v>0</v>
      </c>
      <c r="BK21" s="23">
        <f t="shared" si="68"/>
        <v>0</v>
      </c>
      <c r="BL21" s="23">
        <f t="shared" si="68"/>
        <v>0</v>
      </c>
      <c r="BM21" s="23">
        <f t="shared" si="68"/>
        <v>0</v>
      </c>
      <c r="BN21" s="23">
        <f t="shared" si="68"/>
        <v>0</v>
      </c>
      <c r="BO21" s="23">
        <f t="shared" si="68"/>
        <v>0</v>
      </c>
      <c r="BP21" s="23" t="s">
        <v>4</v>
      </c>
      <c r="BQ21" s="22">
        <v>0</v>
      </c>
      <c r="BR21" s="23">
        <f>0*12*BR35</f>
        <v>0</v>
      </c>
      <c r="BS21" s="23">
        <f t="shared" ref="BS21:CF21" si="69">0*12*BS35</f>
        <v>0</v>
      </c>
      <c r="BT21" s="23">
        <f t="shared" si="69"/>
        <v>0</v>
      </c>
      <c r="BU21" s="23">
        <f t="shared" si="69"/>
        <v>0</v>
      </c>
      <c r="BV21" s="23">
        <f t="shared" si="69"/>
        <v>0</v>
      </c>
      <c r="BW21" s="23">
        <f t="shared" si="69"/>
        <v>0</v>
      </c>
      <c r="BX21" s="23">
        <f t="shared" si="69"/>
        <v>0</v>
      </c>
      <c r="BY21" s="23">
        <f t="shared" si="69"/>
        <v>0</v>
      </c>
      <c r="BZ21" s="23">
        <f t="shared" si="69"/>
        <v>0</v>
      </c>
      <c r="CA21" s="23">
        <f t="shared" si="69"/>
        <v>0</v>
      </c>
      <c r="CB21" s="23">
        <f t="shared" si="69"/>
        <v>0</v>
      </c>
      <c r="CC21" s="23">
        <f t="shared" si="69"/>
        <v>0</v>
      </c>
      <c r="CD21" s="23">
        <f t="shared" si="69"/>
        <v>0</v>
      </c>
      <c r="CE21" s="23">
        <f t="shared" si="69"/>
        <v>0</v>
      </c>
      <c r="CF21" s="23">
        <f t="shared" si="69"/>
        <v>0</v>
      </c>
      <c r="CG21" s="55" t="s">
        <v>213</v>
      </c>
      <c r="CH21" s="55"/>
      <c r="CI21" s="55"/>
      <c r="CJ21" s="55"/>
      <c r="CK21" s="55"/>
      <c r="CL21" s="55"/>
      <c r="CM21" s="22" t="s">
        <v>208</v>
      </c>
      <c r="CN21" s="23">
        <v>2.36</v>
      </c>
      <c r="CO21" s="23">
        <f>2.36*12*CO35</f>
        <v>44080.08</v>
      </c>
    </row>
    <row r="22" spans="1:93" s="5" customFormat="1" ht="13.5" customHeight="1">
      <c r="A22" s="58" t="s">
        <v>10</v>
      </c>
      <c r="B22" s="58"/>
      <c r="C22" s="58"/>
      <c r="D22" s="58"/>
      <c r="E22" s="58"/>
      <c r="F22" s="58"/>
      <c r="G22" s="18"/>
      <c r="H22" s="28">
        <f t="shared" ref="H22" si="70">SUM(H23:H27)</f>
        <v>1.94</v>
      </c>
      <c r="I22" s="28">
        <f t="shared" ref="I22:M22" si="71">SUM(I23:I27)</f>
        <v>15825.744000000001</v>
      </c>
      <c r="J22" s="28">
        <f t="shared" si="71"/>
        <v>10587.744000000001</v>
      </c>
      <c r="K22" s="28">
        <f t="shared" si="71"/>
        <v>12429.191999999999</v>
      </c>
      <c r="L22" s="28">
        <f t="shared" ref="L22:O22" si="72">SUM(L23:L27)</f>
        <v>12161.472</v>
      </c>
      <c r="M22" s="28">
        <f t="shared" si="71"/>
        <v>7673.0880000000016</v>
      </c>
      <c r="N22" s="28">
        <f t="shared" si="72"/>
        <v>17385.504000000001</v>
      </c>
      <c r="O22" s="28">
        <f t="shared" si="72"/>
        <v>7747.5840000000007</v>
      </c>
      <c r="P22" s="28">
        <f t="shared" ref="P22:U22" si="73">SUM(P23:P27)</f>
        <v>12340.728000000001</v>
      </c>
      <c r="Q22" s="28">
        <f t="shared" si="73"/>
        <v>24804.84</v>
      </c>
      <c r="R22" s="28">
        <f t="shared" si="73"/>
        <v>13704.936000000002</v>
      </c>
      <c r="S22" s="28">
        <f t="shared" si="73"/>
        <v>11504.976000000001</v>
      </c>
      <c r="T22" s="28">
        <f t="shared" si="73"/>
        <v>17248.152000000002</v>
      </c>
      <c r="U22" s="28">
        <f t="shared" si="73"/>
        <v>13690.968000000001</v>
      </c>
      <c r="V22" s="28">
        <f t="shared" ref="V22:AA22" si="74">SUM(V23:V27)</f>
        <v>12810.984</v>
      </c>
      <c r="W22" s="28">
        <f t="shared" si="74"/>
        <v>9083.8559999999998</v>
      </c>
      <c r="X22" s="28">
        <f t="shared" si="74"/>
        <v>8259.7440000000006</v>
      </c>
      <c r="Y22" s="28">
        <f t="shared" si="74"/>
        <v>12778.392</v>
      </c>
      <c r="Z22" s="28">
        <f t="shared" si="74"/>
        <v>22800.432000000001</v>
      </c>
      <c r="AA22" s="28">
        <f t="shared" si="74"/>
        <v>16973.448000000004</v>
      </c>
      <c r="AB22" s="28">
        <f t="shared" ref="AB22:AC22" si="75">SUM(AB23:AB27)</f>
        <v>11016.096000000001</v>
      </c>
      <c r="AC22" s="28">
        <f t="shared" si="75"/>
        <v>13891.176000000003</v>
      </c>
      <c r="AD22" s="28">
        <f t="shared" ref="AD22:AJ22" si="76">SUM(AD23:AD27)</f>
        <v>13434.888000000001</v>
      </c>
      <c r="AE22" s="28">
        <f t="shared" si="76"/>
        <v>13337.112000000001</v>
      </c>
      <c r="AF22" s="28">
        <f t="shared" si="76"/>
        <v>9914.9519999999993</v>
      </c>
      <c r="AG22" s="28">
        <f t="shared" si="76"/>
        <v>9845.1119999999992</v>
      </c>
      <c r="AH22" s="28">
        <f t="shared" si="76"/>
        <v>9812.52</v>
      </c>
      <c r="AI22" s="28">
        <f t="shared" si="76"/>
        <v>9789.2400000000016</v>
      </c>
      <c r="AJ22" s="28">
        <f t="shared" si="76"/>
        <v>9609.9840000000004</v>
      </c>
      <c r="AK22" s="20"/>
      <c r="AL22" s="29">
        <v>5.2099999999999991</v>
      </c>
      <c r="AM22" s="28">
        <f t="shared" ref="AM22:AP22" si="77">SUM(AM23:AM27)</f>
        <v>16311.467999999997</v>
      </c>
      <c r="AN22" s="28">
        <f t="shared" si="77"/>
        <v>31009.919999999998</v>
      </c>
      <c r="AO22" s="28">
        <f t="shared" si="77"/>
        <v>32697.959999999995</v>
      </c>
      <c r="AP22" s="28">
        <f t="shared" si="77"/>
        <v>32435.375999999997</v>
      </c>
      <c r="AQ22" s="28">
        <f t="shared" ref="AQ22:AZ22" si="78">SUM(AQ23:AQ27)</f>
        <v>36567.947999999997</v>
      </c>
      <c r="AR22" s="28">
        <f t="shared" ref="AR22:AU22" si="79">SUM(AR23:AR27)</f>
        <v>36411.647999999994</v>
      </c>
      <c r="AS22" s="28">
        <f t="shared" si="79"/>
        <v>20525.315999999999</v>
      </c>
      <c r="AT22" s="28">
        <f t="shared" si="79"/>
        <v>37530.755999999994</v>
      </c>
      <c r="AU22" s="28">
        <f t="shared" si="79"/>
        <v>36968.075999999994</v>
      </c>
      <c r="AV22" s="28">
        <f t="shared" si="78"/>
        <v>19231.152000000002</v>
      </c>
      <c r="AW22" s="28">
        <f t="shared" si="78"/>
        <v>41457.012000000002</v>
      </c>
      <c r="AX22" s="28">
        <f t="shared" ref="AX22" si="80">SUM(AX23:AX27)</f>
        <v>34154.675999999992</v>
      </c>
      <c r="AY22" s="28">
        <f t="shared" ref="AY22" si="81">SUM(AY23:AY27)</f>
        <v>25776.995999999999</v>
      </c>
      <c r="AZ22" s="28">
        <f t="shared" si="78"/>
        <v>21494.376</v>
      </c>
      <c r="BA22" s="20"/>
      <c r="BB22" s="29">
        <v>1.53</v>
      </c>
      <c r="BC22" s="28">
        <f t="shared" ref="BC22" si="82">SUM(BC23:BC27)</f>
        <v>9303.0119999999988</v>
      </c>
      <c r="BD22" s="20"/>
      <c r="BE22" s="29">
        <v>1.94</v>
      </c>
      <c r="BF22" s="28">
        <f t="shared" ref="BF22:BI22" si="83">SUM(BF23:BF27)</f>
        <v>15416.016000000003</v>
      </c>
      <c r="BG22" s="28">
        <f t="shared" si="83"/>
        <v>22989</v>
      </c>
      <c r="BH22" s="28">
        <f t="shared" si="83"/>
        <v>13600.176000000003</v>
      </c>
      <c r="BI22" s="28">
        <f t="shared" si="83"/>
        <v>9305.0159999999996</v>
      </c>
      <c r="BJ22" s="28">
        <f t="shared" ref="BJ22:BO22" si="84">SUM(BJ23:BJ27)</f>
        <v>19885.776000000002</v>
      </c>
      <c r="BK22" s="28">
        <f t="shared" si="84"/>
        <v>20176.776000000002</v>
      </c>
      <c r="BL22" s="28">
        <f t="shared" si="84"/>
        <v>13409.279999999999</v>
      </c>
      <c r="BM22" s="28">
        <f t="shared" si="84"/>
        <v>13912.128000000001</v>
      </c>
      <c r="BN22" s="28">
        <f t="shared" si="84"/>
        <v>13830.648000000001</v>
      </c>
      <c r="BO22" s="28">
        <f t="shared" si="84"/>
        <v>13886.52</v>
      </c>
      <c r="BP22" s="20"/>
      <c r="BQ22" s="29">
        <v>2.98</v>
      </c>
      <c r="BR22" s="28">
        <f t="shared" ref="BR22:CF22" si="85">SUM(BR23:BR27)</f>
        <v>9329.7839999999997</v>
      </c>
      <c r="BS22" s="28">
        <f t="shared" si="85"/>
        <v>17736.96</v>
      </c>
      <c r="BT22" s="28">
        <f t="shared" si="85"/>
        <v>18702.48</v>
      </c>
      <c r="BU22" s="28">
        <f t="shared" si="85"/>
        <v>18552.287999999997</v>
      </c>
      <c r="BV22" s="28">
        <f t="shared" si="85"/>
        <v>20916.023999999998</v>
      </c>
      <c r="BW22" s="28">
        <f t="shared" si="85"/>
        <v>20826.623999999996</v>
      </c>
      <c r="BX22" s="28">
        <f t="shared" si="85"/>
        <v>11740.008</v>
      </c>
      <c r="BY22" s="28">
        <f t="shared" si="85"/>
        <v>21466.727999999999</v>
      </c>
      <c r="BZ22" s="28">
        <f t="shared" si="85"/>
        <v>21144.887999999999</v>
      </c>
      <c r="CA22" s="28">
        <f t="shared" si="85"/>
        <v>18470.04</v>
      </c>
      <c r="CB22" s="28">
        <f t="shared" si="85"/>
        <v>10999.776000000002</v>
      </c>
      <c r="CC22" s="28">
        <f t="shared" si="85"/>
        <v>23712.455999999998</v>
      </c>
      <c r="CD22" s="28">
        <f t="shared" si="85"/>
        <v>19535.687999999998</v>
      </c>
      <c r="CE22" s="28">
        <f t="shared" si="85"/>
        <v>14743.848</v>
      </c>
      <c r="CF22" s="28">
        <f t="shared" si="85"/>
        <v>12294.288</v>
      </c>
      <c r="CG22" s="58" t="s">
        <v>10</v>
      </c>
      <c r="CH22" s="58"/>
      <c r="CI22" s="58"/>
      <c r="CJ22" s="58"/>
      <c r="CK22" s="58"/>
      <c r="CL22" s="58"/>
      <c r="CM22" s="18"/>
      <c r="CN22" s="28">
        <f t="shared" ref="CN22:CO22" si="86">SUM(CN23:CN27)</f>
        <v>4.1100000000000003</v>
      </c>
      <c r="CO22" s="28">
        <f t="shared" si="86"/>
        <v>76766.58</v>
      </c>
    </row>
    <row r="23" spans="1:93" s="5" customFormat="1">
      <c r="A23" s="54" t="s">
        <v>38</v>
      </c>
      <c r="B23" s="55"/>
      <c r="C23" s="55"/>
      <c r="D23" s="55"/>
      <c r="E23" s="55"/>
      <c r="F23" s="55"/>
      <c r="G23" s="22" t="s">
        <v>4</v>
      </c>
      <c r="H23" s="23">
        <v>1.02</v>
      </c>
      <c r="I23" s="23">
        <f>1.02*12*I35</f>
        <v>8320.7520000000004</v>
      </c>
      <c r="J23" s="23">
        <f t="shared" ref="J23:AJ23" si="87">1.02*12*J35</f>
        <v>5566.7520000000004</v>
      </c>
      <c r="K23" s="23">
        <f t="shared" si="87"/>
        <v>6534.9359999999997</v>
      </c>
      <c r="L23" s="23">
        <f t="shared" si="87"/>
        <v>6394.1759999999995</v>
      </c>
      <c r="M23" s="23">
        <f t="shared" si="87"/>
        <v>4034.3040000000005</v>
      </c>
      <c r="N23" s="23">
        <f t="shared" si="87"/>
        <v>9140.8320000000003</v>
      </c>
      <c r="O23" s="23">
        <f t="shared" si="87"/>
        <v>4073.4720000000002</v>
      </c>
      <c r="P23" s="23">
        <f t="shared" si="87"/>
        <v>6488.424</v>
      </c>
      <c r="Q23" s="23">
        <f t="shared" si="87"/>
        <v>13041.72</v>
      </c>
      <c r="R23" s="23">
        <f t="shared" si="87"/>
        <v>7205.688000000001</v>
      </c>
      <c r="S23" s="23">
        <f t="shared" si="87"/>
        <v>6049.0079999999998</v>
      </c>
      <c r="T23" s="23">
        <f t="shared" si="87"/>
        <v>9068.616</v>
      </c>
      <c r="U23" s="23">
        <f t="shared" si="87"/>
        <v>7198.3440000000001</v>
      </c>
      <c r="V23" s="23">
        <f t="shared" si="87"/>
        <v>6735.6719999999996</v>
      </c>
      <c r="W23" s="23">
        <f t="shared" si="87"/>
        <v>4776.0479999999998</v>
      </c>
      <c r="X23" s="23">
        <f t="shared" si="87"/>
        <v>4342.7520000000004</v>
      </c>
      <c r="Y23" s="23">
        <f t="shared" si="87"/>
        <v>6718.5360000000001</v>
      </c>
      <c r="Z23" s="23">
        <f t="shared" si="87"/>
        <v>11987.856</v>
      </c>
      <c r="AA23" s="23">
        <f t="shared" si="87"/>
        <v>8924.1840000000011</v>
      </c>
      <c r="AB23" s="23">
        <f t="shared" si="87"/>
        <v>5791.9679999999998</v>
      </c>
      <c r="AC23" s="23">
        <f t="shared" si="87"/>
        <v>7303.6080000000011</v>
      </c>
      <c r="AD23" s="23">
        <f t="shared" si="87"/>
        <v>7063.7040000000006</v>
      </c>
      <c r="AE23" s="23">
        <f t="shared" si="87"/>
        <v>7012.2960000000003</v>
      </c>
      <c r="AF23" s="23">
        <f t="shared" si="87"/>
        <v>5213.0159999999996</v>
      </c>
      <c r="AG23" s="23">
        <f t="shared" si="87"/>
        <v>5176.2959999999994</v>
      </c>
      <c r="AH23" s="23">
        <f t="shared" si="87"/>
        <v>5159.16</v>
      </c>
      <c r="AI23" s="23">
        <f t="shared" si="87"/>
        <v>5146.92</v>
      </c>
      <c r="AJ23" s="23">
        <f t="shared" si="87"/>
        <v>5052.6720000000005</v>
      </c>
      <c r="AK23" s="23" t="s">
        <v>4</v>
      </c>
      <c r="AL23" s="22">
        <v>1.1499999999999999</v>
      </c>
      <c r="AM23" s="23">
        <f>1.15*12*AM35</f>
        <v>3600.4199999999996</v>
      </c>
      <c r="AN23" s="23">
        <f t="shared" ref="AN23:AZ23" si="88">1.15*12*AN35</f>
        <v>6844.7999999999993</v>
      </c>
      <c r="AO23" s="23">
        <f t="shared" si="88"/>
        <v>7217.4</v>
      </c>
      <c r="AP23" s="23">
        <f t="shared" si="88"/>
        <v>7159.4399999999987</v>
      </c>
      <c r="AQ23" s="23">
        <f t="shared" si="88"/>
        <v>8071.619999999999</v>
      </c>
      <c r="AR23" s="23">
        <f t="shared" si="88"/>
        <v>8037.119999999999</v>
      </c>
      <c r="AS23" s="23">
        <f t="shared" si="88"/>
        <v>4530.54</v>
      </c>
      <c r="AT23" s="23">
        <f t="shared" si="88"/>
        <v>8284.14</v>
      </c>
      <c r="AU23" s="23">
        <f t="shared" si="88"/>
        <v>8159.9399999999987</v>
      </c>
      <c r="AV23" s="23">
        <f t="shared" si="88"/>
        <v>4244.88</v>
      </c>
      <c r="AW23" s="23">
        <f t="shared" si="88"/>
        <v>9150.7799999999988</v>
      </c>
      <c r="AX23" s="23">
        <f t="shared" si="88"/>
        <v>7538.9399999999987</v>
      </c>
      <c r="AY23" s="23">
        <f t="shared" si="88"/>
        <v>5689.74</v>
      </c>
      <c r="AZ23" s="23">
        <f t="shared" si="88"/>
        <v>4744.4399999999996</v>
      </c>
      <c r="BA23" s="23" t="s">
        <v>4</v>
      </c>
      <c r="BB23" s="22">
        <v>1.02</v>
      </c>
      <c r="BC23" s="23">
        <f t="shared" ref="BC23" si="89">1.02*12*BC35</f>
        <v>6202.0079999999998</v>
      </c>
      <c r="BD23" s="23" t="s">
        <v>4</v>
      </c>
      <c r="BE23" s="22">
        <v>1.02</v>
      </c>
      <c r="BF23" s="23">
        <f t="shared" ref="BF23:BO23" si="90">1.02*12*BF35</f>
        <v>8105.3280000000004</v>
      </c>
      <c r="BG23" s="23">
        <f t="shared" si="90"/>
        <v>12087</v>
      </c>
      <c r="BH23" s="23">
        <f t="shared" si="90"/>
        <v>7150.6080000000011</v>
      </c>
      <c r="BI23" s="23">
        <f t="shared" si="90"/>
        <v>4892.3279999999995</v>
      </c>
      <c r="BJ23" s="23">
        <f t="shared" si="90"/>
        <v>10455.408000000001</v>
      </c>
      <c r="BK23" s="23">
        <f t="shared" si="90"/>
        <v>10608.408000000001</v>
      </c>
      <c r="BL23" s="23">
        <f t="shared" si="90"/>
        <v>7050.24</v>
      </c>
      <c r="BM23" s="23">
        <f t="shared" si="90"/>
        <v>7314.6240000000007</v>
      </c>
      <c r="BN23" s="23">
        <f t="shared" si="90"/>
        <v>7271.7840000000006</v>
      </c>
      <c r="BO23" s="23">
        <f t="shared" si="90"/>
        <v>7301.16</v>
      </c>
      <c r="BP23" s="23" t="s">
        <v>4</v>
      </c>
      <c r="BQ23" s="22">
        <v>1.1499999999999999</v>
      </c>
      <c r="BR23" s="23">
        <f>1.15*12*BR35</f>
        <v>3600.4199999999996</v>
      </c>
      <c r="BS23" s="23">
        <f t="shared" ref="BS23:CF23" si="91">1.15*12*BS35</f>
        <v>6844.7999999999993</v>
      </c>
      <c r="BT23" s="23">
        <f t="shared" si="91"/>
        <v>7217.4</v>
      </c>
      <c r="BU23" s="23">
        <f t="shared" si="91"/>
        <v>7159.4399999999987</v>
      </c>
      <c r="BV23" s="23">
        <f t="shared" si="91"/>
        <v>8071.619999999999</v>
      </c>
      <c r="BW23" s="23">
        <f t="shared" si="91"/>
        <v>8037.119999999999</v>
      </c>
      <c r="BX23" s="23">
        <f t="shared" si="91"/>
        <v>4530.54</v>
      </c>
      <c r="BY23" s="23">
        <f t="shared" si="91"/>
        <v>8284.14</v>
      </c>
      <c r="BZ23" s="23">
        <f t="shared" si="91"/>
        <v>8159.9399999999987</v>
      </c>
      <c r="CA23" s="23">
        <f t="shared" si="91"/>
        <v>7127.7</v>
      </c>
      <c r="CB23" s="23">
        <f t="shared" si="91"/>
        <v>4244.88</v>
      </c>
      <c r="CC23" s="23">
        <f t="shared" si="91"/>
        <v>9150.7799999999988</v>
      </c>
      <c r="CD23" s="23">
        <f t="shared" si="91"/>
        <v>7538.9399999999987</v>
      </c>
      <c r="CE23" s="23">
        <f t="shared" si="91"/>
        <v>5689.74</v>
      </c>
      <c r="CF23" s="23">
        <f t="shared" si="91"/>
        <v>4744.4399999999996</v>
      </c>
      <c r="CG23" s="54"/>
      <c r="CH23" s="55"/>
      <c r="CI23" s="55"/>
      <c r="CJ23" s="55"/>
      <c r="CK23" s="55"/>
      <c r="CL23" s="55"/>
      <c r="CM23" s="22"/>
      <c r="CN23" s="23"/>
      <c r="CO23" s="23">
        <f>0*12*CO35</f>
        <v>0</v>
      </c>
    </row>
    <row r="24" spans="1:93" s="5" customFormat="1" ht="24.75" customHeight="1">
      <c r="A24" s="54" t="s">
        <v>28</v>
      </c>
      <c r="B24" s="55"/>
      <c r="C24" s="55"/>
      <c r="D24" s="55"/>
      <c r="E24" s="55"/>
      <c r="F24" s="55"/>
      <c r="G24" s="22" t="s">
        <v>3</v>
      </c>
      <c r="H24" s="23">
        <v>0</v>
      </c>
      <c r="I24" s="23">
        <f>0*1242*I35</f>
        <v>0</v>
      </c>
      <c r="J24" s="23">
        <f t="shared" ref="J24:M24" si="92">0*1242*J35</f>
        <v>0</v>
      </c>
      <c r="K24" s="23">
        <f t="shared" si="92"/>
        <v>0</v>
      </c>
      <c r="L24" s="23">
        <f>0*1242*L35</f>
        <v>0</v>
      </c>
      <c r="M24" s="23">
        <f t="shared" si="92"/>
        <v>0</v>
      </c>
      <c r="N24" s="23">
        <f>0*1242*N35</f>
        <v>0</v>
      </c>
      <c r="O24" s="23">
        <f t="shared" ref="O24" si="93">0*1242*O35</f>
        <v>0</v>
      </c>
      <c r="P24" s="23">
        <f>0*1242*P35</f>
        <v>0</v>
      </c>
      <c r="Q24" s="23">
        <f t="shared" ref="Q24" si="94">0*1242*Q35</f>
        <v>0</v>
      </c>
      <c r="R24" s="23">
        <f>0*1242*R35</f>
        <v>0</v>
      </c>
      <c r="S24" s="23">
        <f t="shared" ref="S24" si="95">0*1242*S35</f>
        <v>0</v>
      </c>
      <c r="T24" s="23">
        <f>0*1242*T35</f>
        <v>0</v>
      </c>
      <c r="U24" s="23">
        <f t="shared" ref="U24" si="96">0*1242*U35</f>
        <v>0</v>
      </c>
      <c r="V24" s="23">
        <f t="shared" ref="V24:AA24" si="97">0*12*V35</f>
        <v>0</v>
      </c>
      <c r="W24" s="23">
        <f t="shared" si="97"/>
        <v>0</v>
      </c>
      <c r="X24" s="23">
        <f t="shared" si="97"/>
        <v>0</v>
      </c>
      <c r="Y24" s="23">
        <f t="shared" si="97"/>
        <v>0</v>
      </c>
      <c r="Z24" s="23">
        <f t="shared" si="97"/>
        <v>0</v>
      </c>
      <c r="AA24" s="23">
        <f t="shared" si="97"/>
        <v>0</v>
      </c>
      <c r="AB24" s="23">
        <f t="shared" ref="AB24:AC24" si="98">0*12*AB35</f>
        <v>0</v>
      </c>
      <c r="AC24" s="23">
        <f t="shared" si="98"/>
        <v>0</v>
      </c>
      <c r="AD24" s="23">
        <f t="shared" ref="AD24:AF24" si="99">0*12*AD35</f>
        <v>0</v>
      </c>
      <c r="AE24" s="23">
        <f t="shared" si="99"/>
        <v>0</v>
      </c>
      <c r="AF24" s="23">
        <f t="shared" si="99"/>
        <v>0</v>
      </c>
      <c r="AG24" s="23">
        <f t="shared" ref="AG24" si="100">0*1242*AG35</f>
        <v>0</v>
      </c>
      <c r="AH24" s="23">
        <f>0*1242*AH35</f>
        <v>0</v>
      </c>
      <c r="AI24" s="23">
        <f t="shared" ref="AI24" si="101">0*1242*AI35</f>
        <v>0</v>
      </c>
      <c r="AJ24" s="23">
        <f>0*1242*AJ35</f>
        <v>0</v>
      </c>
      <c r="AK24" s="23" t="s">
        <v>3</v>
      </c>
      <c r="AL24" s="22">
        <v>0</v>
      </c>
      <c r="AM24" s="23">
        <f t="shared" ref="AM24" si="102">0*12*AM35</f>
        <v>0</v>
      </c>
      <c r="AN24" s="23">
        <f t="shared" ref="AN24" si="103">0*1242*AN35</f>
        <v>0</v>
      </c>
      <c r="AO24" s="23">
        <f>0*1242*AO35</f>
        <v>0</v>
      </c>
      <c r="AP24" s="23">
        <f t="shared" ref="AP24" si="104">0*1242*AP35</f>
        <v>0</v>
      </c>
      <c r="AQ24" s="23">
        <f>0*1242*AQ35</f>
        <v>0</v>
      </c>
      <c r="AR24" s="23">
        <f t="shared" ref="AR24" si="105">0*12*AR35</f>
        <v>0</v>
      </c>
      <c r="AS24" s="23">
        <f t="shared" ref="AS24" si="106">0*1242*AS35</f>
        <v>0</v>
      </c>
      <c r="AT24" s="23">
        <f>0*1242*AT35</f>
        <v>0</v>
      </c>
      <c r="AU24" s="23">
        <f t="shared" ref="AU24" si="107">0*1242*AU35</f>
        <v>0</v>
      </c>
      <c r="AV24" s="23">
        <f t="shared" ref="AV24" si="108">0*12*AV35</f>
        <v>0</v>
      </c>
      <c r="AW24" s="23">
        <f t="shared" ref="AW24" si="109">0*1242*AW35</f>
        <v>0</v>
      </c>
      <c r="AX24" s="23">
        <f t="shared" ref="AX24" si="110">0*1242*AX35</f>
        <v>0</v>
      </c>
      <c r="AY24" s="23">
        <f t="shared" ref="AY24" si="111">0*12*AY35</f>
        <v>0</v>
      </c>
      <c r="AZ24" s="23">
        <f>0*1242*AZ35</f>
        <v>0</v>
      </c>
      <c r="BA24" s="23" t="s">
        <v>3</v>
      </c>
      <c r="BB24" s="22">
        <v>0</v>
      </c>
      <c r="BC24" s="23">
        <f t="shared" ref="BC24" si="112">0*12*BC35</f>
        <v>0</v>
      </c>
      <c r="BD24" s="23" t="s">
        <v>3</v>
      </c>
      <c r="BE24" s="22">
        <v>0</v>
      </c>
      <c r="BF24" s="23">
        <f t="shared" ref="BF24:BI24" si="113">0*12*BF35</f>
        <v>0</v>
      </c>
      <c r="BG24" s="23">
        <f t="shared" si="113"/>
        <v>0</v>
      </c>
      <c r="BH24" s="23">
        <f t="shared" si="113"/>
        <v>0</v>
      </c>
      <c r="BI24" s="23">
        <f t="shared" si="113"/>
        <v>0</v>
      </c>
      <c r="BJ24" s="23">
        <f t="shared" ref="BJ24:BO24" si="114">0*12*BJ35</f>
        <v>0</v>
      </c>
      <c r="BK24" s="23">
        <f t="shared" si="114"/>
        <v>0</v>
      </c>
      <c r="BL24" s="23">
        <f t="shared" si="114"/>
        <v>0</v>
      </c>
      <c r="BM24" s="23">
        <f t="shared" si="114"/>
        <v>0</v>
      </c>
      <c r="BN24" s="23">
        <f t="shared" si="114"/>
        <v>0</v>
      </c>
      <c r="BO24" s="23">
        <f t="shared" si="114"/>
        <v>0</v>
      </c>
      <c r="BP24" s="23" t="s">
        <v>3</v>
      </c>
      <c r="BQ24" s="22">
        <v>0</v>
      </c>
      <c r="BR24" s="23">
        <f>0*1242*BR35</f>
        <v>0</v>
      </c>
      <c r="BS24" s="23">
        <f t="shared" ref="BS24" si="115">0*12*BS35</f>
        <v>0</v>
      </c>
      <c r="BT24" s="23">
        <f t="shared" ref="BT24" si="116">0*1242*BT35</f>
        <v>0</v>
      </c>
      <c r="BU24" s="23">
        <f>0*1242*BU35</f>
        <v>0</v>
      </c>
      <c r="BV24" s="23">
        <f t="shared" ref="BV24" si="117">0*1242*BV35</f>
        <v>0</v>
      </c>
      <c r="BW24" s="23">
        <f>0*1242*BW35</f>
        <v>0</v>
      </c>
      <c r="BX24" s="23">
        <f>0*1242*BX35</f>
        <v>0</v>
      </c>
      <c r="BY24" s="23">
        <f t="shared" ref="BY24" si="118">0*1242*BY35</f>
        <v>0</v>
      </c>
      <c r="BZ24" s="23">
        <f>0*1242*BZ35</f>
        <v>0</v>
      </c>
      <c r="CA24" s="23">
        <f t="shared" ref="CA24" si="119">0*12*CA35</f>
        <v>0</v>
      </c>
      <c r="CB24" s="23">
        <f t="shared" ref="CB24" si="120">0*1242*CB35</f>
        <v>0</v>
      </c>
      <c r="CC24" s="23">
        <f>0*1242*CC35</f>
        <v>0</v>
      </c>
      <c r="CD24" s="23">
        <f>0*1242*CD35</f>
        <v>0</v>
      </c>
      <c r="CE24" s="23">
        <f t="shared" ref="CE24:CF24" si="121">0*1242*CE35</f>
        <v>0</v>
      </c>
      <c r="CF24" s="23">
        <f t="shared" si="121"/>
        <v>0</v>
      </c>
      <c r="CG24" s="54" t="s">
        <v>214</v>
      </c>
      <c r="CH24" s="55"/>
      <c r="CI24" s="55"/>
      <c r="CJ24" s="55"/>
      <c r="CK24" s="55"/>
      <c r="CL24" s="55"/>
      <c r="CM24" s="22" t="s">
        <v>218</v>
      </c>
      <c r="CN24" s="23">
        <v>0.06</v>
      </c>
      <c r="CO24" s="23">
        <f>0.06*12*CO35</f>
        <v>1120.68</v>
      </c>
    </row>
    <row r="25" spans="1:93" s="5" customFormat="1" ht="25.5" customHeight="1">
      <c r="A25" s="54" t="s">
        <v>29</v>
      </c>
      <c r="B25" s="54"/>
      <c r="C25" s="54"/>
      <c r="D25" s="54"/>
      <c r="E25" s="54"/>
      <c r="F25" s="54"/>
      <c r="G25" s="22" t="s">
        <v>8</v>
      </c>
      <c r="H25" s="23">
        <v>0</v>
      </c>
      <c r="I25" s="23">
        <f>0*12*I35</f>
        <v>0</v>
      </c>
      <c r="J25" s="23">
        <f t="shared" ref="J25:M25" si="122">0*12*J35</f>
        <v>0</v>
      </c>
      <c r="K25" s="23">
        <f t="shared" si="122"/>
        <v>0</v>
      </c>
      <c r="L25" s="23">
        <f>0*12*L35</f>
        <v>0</v>
      </c>
      <c r="M25" s="23">
        <f t="shared" si="122"/>
        <v>0</v>
      </c>
      <c r="N25" s="23">
        <f>0*12*N35</f>
        <v>0</v>
      </c>
      <c r="O25" s="23">
        <f t="shared" ref="O25" si="123">0*12*O35</f>
        <v>0</v>
      </c>
      <c r="P25" s="23">
        <f>0*12*P35</f>
        <v>0</v>
      </c>
      <c r="Q25" s="23">
        <f t="shared" ref="Q25" si="124">0*12*Q35</f>
        <v>0</v>
      </c>
      <c r="R25" s="23">
        <f>0*12*R35</f>
        <v>0</v>
      </c>
      <c r="S25" s="23">
        <f t="shared" ref="S25" si="125">0*12*S35</f>
        <v>0</v>
      </c>
      <c r="T25" s="23">
        <f>0*12*T35</f>
        <v>0</v>
      </c>
      <c r="U25" s="23">
        <f t="shared" ref="U25" si="126">0*12*U35</f>
        <v>0</v>
      </c>
      <c r="V25" s="23">
        <f t="shared" ref="V25:AA25" si="127">0*12*V35</f>
        <v>0</v>
      </c>
      <c r="W25" s="23">
        <f t="shared" si="127"/>
        <v>0</v>
      </c>
      <c r="X25" s="23">
        <f t="shared" si="127"/>
        <v>0</v>
      </c>
      <c r="Y25" s="23">
        <f t="shared" si="127"/>
        <v>0</v>
      </c>
      <c r="Z25" s="23">
        <f t="shared" si="127"/>
        <v>0</v>
      </c>
      <c r="AA25" s="23">
        <f t="shared" si="127"/>
        <v>0</v>
      </c>
      <c r="AB25" s="23">
        <f t="shared" ref="AB25:AC25" si="128">0*12*AB35</f>
        <v>0</v>
      </c>
      <c r="AC25" s="23">
        <f t="shared" si="128"/>
        <v>0</v>
      </c>
      <c r="AD25" s="23">
        <f t="shared" ref="AD25:AG25" si="129">0*12*AD35</f>
        <v>0</v>
      </c>
      <c r="AE25" s="23">
        <f t="shared" si="129"/>
        <v>0</v>
      </c>
      <c r="AF25" s="23">
        <f t="shared" si="129"/>
        <v>0</v>
      </c>
      <c r="AG25" s="23">
        <f t="shared" si="129"/>
        <v>0</v>
      </c>
      <c r="AH25" s="23">
        <f>0*12*AH35</f>
        <v>0</v>
      </c>
      <c r="AI25" s="23">
        <f t="shared" ref="AI25" si="130">0*12*AI35</f>
        <v>0</v>
      </c>
      <c r="AJ25" s="23">
        <f>0*12*AJ35</f>
        <v>0</v>
      </c>
      <c r="AK25" s="23" t="s">
        <v>8</v>
      </c>
      <c r="AL25" s="22">
        <v>0</v>
      </c>
      <c r="AM25" s="23">
        <f t="shared" ref="AM25:AN25" si="131">0*12*AM35</f>
        <v>0</v>
      </c>
      <c r="AN25" s="23">
        <f t="shared" si="131"/>
        <v>0</v>
      </c>
      <c r="AO25" s="23">
        <f>0*12*AO35</f>
        <v>0</v>
      </c>
      <c r="AP25" s="23">
        <f t="shared" ref="AP25" si="132">0*12*AP35</f>
        <v>0</v>
      </c>
      <c r="AQ25" s="23">
        <f>0*12*AQ35</f>
        <v>0</v>
      </c>
      <c r="AR25" s="23">
        <f t="shared" ref="AR25:AS25" si="133">0*12*AR35</f>
        <v>0</v>
      </c>
      <c r="AS25" s="23">
        <f t="shared" si="133"/>
        <v>0</v>
      </c>
      <c r="AT25" s="23">
        <f>0*12*AT35</f>
        <v>0</v>
      </c>
      <c r="AU25" s="23">
        <f t="shared" ref="AU25" si="134">0*12*AU35</f>
        <v>0</v>
      </c>
      <c r="AV25" s="23">
        <f t="shared" ref="AV25:AW25" si="135">0*12*AV35</f>
        <v>0</v>
      </c>
      <c r="AW25" s="23">
        <f t="shared" si="135"/>
        <v>0</v>
      </c>
      <c r="AX25" s="23">
        <f t="shared" ref="AX25" si="136">0*12*AX35</f>
        <v>0</v>
      </c>
      <c r="AY25" s="23">
        <f t="shared" ref="AY25" si="137">0*12*AY35</f>
        <v>0</v>
      </c>
      <c r="AZ25" s="23">
        <f>0*12*AZ35</f>
        <v>0</v>
      </c>
      <c r="BA25" s="23" t="s">
        <v>8</v>
      </c>
      <c r="BB25" s="22">
        <v>0</v>
      </c>
      <c r="BC25" s="23">
        <f t="shared" ref="BC25" si="138">0*12*BC35</f>
        <v>0</v>
      </c>
      <c r="BD25" s="23" t="s">
        <v>8</v>
      </c>
      <c r="BE25" s="22">
        <v>0</v>
      </c>
      <c r="BF25" s="23">
        <f t="shared" ref="BF25:BI25" si="139">0*12*BF35</f>
        <v>0</v>
      </c>
      <c r="BG25" s="23">
        <f t="shared" si="139"/>
        <v>0</v>
      </c>
      <c r="BH25" s="23">
        <f t="shared" si="139"/>
        <v>0</v>
      </c>
      <c r="BI25" s="23">
        <f t="shared" si="139"/>
        <v>0</v>
      </c>
      <c r="BJ25" s="23">
        <f t="shared" ref="BJ25:BO25" si="140">0*12*BJ35</f>
        <v>0</v>
      </c>
      <c r="BK25" s="23">
        <f t="shared" si="140"/>
        <v>0</v>
      </c>
      <c r="BL25" s="23">
        <f t="shared" si="140"/>
        <v>0</v>
      </c>
      <c r="BM25" s="23">
        <f t="shared" si="140"/>
        <v>0</v>
      </c>
      <c r="BN25" s="23">
        <f t="shared" si="140"/>
        <v>0</v>
      </c>
      <c r="BO25" s="23">
        <f t="shared" si="140"/>
        <v>0</v>
      </c>
      <c r="BP25" s="23" t="s">
        <v>8</v>
      </c>
      <c r="BQ25" s="22">
        <v>0</v>
      </c>
      <c r="BR25" s="23">
        <f>0*12*BR35</f>
        <v>0</v>
      </c>
      <c r="BS25" s="23">
        <f t="shared" ref="BS25:BT25" si="141">0*12*BS35</f>
        <v>0</v>
      </c>
      <c r="BT25" s="23">
        <f t="shared" si="141"/>
        <v>0</v>
      </c>
      <c r="BU25" s="23">
        <f>0*12*BU35</f>
        <v>0</v>
      </c>
      <c r="BV25" s="23">
        <f t="shared" ref="BV25" si="142">0*12*BV35</f>
        <v>0</v>
      </c>
      <c r="BW25" s="23">
        <f>0*12*BW35</f>
        <v>0</v>
      </c>
      <c r="BX25" s="23">
        <f>0*12*BX35</f>
        <v>0</v>
      </c>
      <c r="BY25" s="23">
        <f t="shared" ref="BY25" si="143">0*12*BY35</f>
        <v>0</v>
      </c>
      <c r="BZ25" s="23">
        <f>0*12*BZ35</f>
        <v>0</v>
      </c>
      <c r="CA25" s="23">
        <f t="shared" ref="CA25:CB25" si="144">0*12*CA35</f>
        <v>0</v>
      </c>
      <c r="CB25" s="23">
        <f t="shared" si="144"/>
        <v>0</v>
      </c>
      <c r="CC25" s="23">
        <f>0*12*CC35</f>
        <v>0</v>
      </c>
      <c r="CD25" s="23">
        <f>0*12*CD35</f>
        <v>0</v>
      </c>
      <c r="CE25" s="23">
        <f t="shared" ref="CE25:CF25" si="145">0*12*CE35</f>
        <v>0</v>
      </c>
      <c r="CF25" s="23">
        <f t="shared" si="145"/>
        <v>0</v>
      </c>
      <c r="CG25" s="54" t="s">
        <v>215</v>
      </c>
      <c r="CH25" s="55"/>
      <c r="CI25" s="55"/>
      <c r="CJ25" s="55"/>
      <c r="CK25" s="55"/>
      <c r="CL25" s="55"/>
      <c r="CM25" s="22" t="s">
        <v>8</v>
      </c>
      <c r="CN25" s="23">
        <v>0.03</v>
      </c>
      <c r="CO25" s="23">
        <f>0.03*12*CO35</f>
        <v>560.34</v>
      </c>
    </row>
    <row r="26" spans="1:93" s="5" customFormat="1" ht="61.5" customHeight="1">
      <c r="A26" s="54" t="s">
        <v>30</v>
      </c>
      <c r="B26" s="54"/>
      <c r="C26" s="54"/>
      <c r="D26" s="54"/>
      <c r="E26" s="54"/>
      <c r="F26" s="54"/>
      <c r="G26" s="24" t="s">
        <v>9</v>
      </c>
      <c r="H26" s="23">
        <f>0.03+0.01</f>
        <v>0.04</v>
      </c>
      <c r="I26" s="23">
        <f>0.04*12*I35</f>
        <v>326.30399999999997</v>
      </c>
      <c r="J26" s="23">
        <f t="shared" ref="J26:AJ26" si="146">0.04*12*J35</f>
        <v>218.304</v>
      </c>
      <c r="K26" s="23">
        <f t="shared" si="146"/>
        <v>256.27199999999999</v>
      </c>
      <c r="L26" s="23">
        <f t="shared" si="146"/>
        <v>250.75199999999998</v>
      </c>
      <c r="M26" s="23">
        <f t="shared" si="146"/>
        <v>158.208</v>
      </c>
      <c r="N26" s="23">
        <f t="shared" si="146"/>
        <v>358.46399999999994</v>
      </c>
      <c r="O26" s="23">
        <f t="shared" si="146"/>
        <v>159.744</v>
      </c>
      <c r="P26" s="23">
        <f t="shared" si="146"/>
        <v>254.44800000000001</v>
      </c>
      <c r="Q26" s="23">
        <f t="shared" si="146"/>
        <v>511.44</v>
      </c>
      <c r="R26" s="23">
        <f t="shared" si="146"/>
        <v>282.57600000000002</v>
      </c>
      <c r="S26" s="23">
        <f t="shared" si="146"/>
        <v>237.21599999999998</v>
      </c>
      <c r="T26" s="23">
        <f t="shared" si="146"/>
        <v>355.63199999999995</v>
      </c>
      <c r="U26" s="23">
        <f t="shared" si="146"/>
        <v>282.28800000000001</v>
      </c>
      <c r="V26" s="23">
        <f t="shared" si="146"/>
        <v>264.14399999999995</v>
      </c>
      <c r="W26" s="23">
        <f t="shared" si="146"/>
        <v>187.29599999999999</v>
      </c>
      <c r="X26" s="23">
        <f t="shared" si="146"/>
        <v>170.304</v>
      </c>
      <c r="Y26" s="23">
        <f t="shared" si="146"/>
        <v>263.47199999999998</v>
      </c>
      <c r="Z26" s="23">
        <f t="shared" si="146"/>
        <v>470.11199999999997</v>
      </c>
      <c r="AA26" s="23">
        <f t="shared" si="146"/>
        <v>349.96800000000002</v>
      </c>
      <c r="AB26" s="23">
        <f t="shared" si="146"/>
        <v>227.136</v>
      </c>
      <c r="AC26" s="23">
        <f t="shared" si="146"/>
        <v>286.416</v>
      </c>
      <c r="AD26" s="23">
        <f t="shared" si="146"/>
        <v>277.00799999999998</v>
      </c>
      <c r="AE26" s="23">
        <f t="shared" si="146"/>
        <v>274.99199999999996</v>
      </c>
      <c r="AF26" s="23">
        <f t="shared" si="146"/>
        <v>204.43199999999999</v>
      </c>
      <c r="AG26" s="23">
        <f t="shared" si="146"/>
        <v>202.99199999999999</v>
      </c>
      <c r="AH26" s="23">
        <f t="shared" si="146"/>
        <v>202.32</v>
      </c>
      <c r="AI26" s="23">
        <f t="shared" si="146"/>
        <v>201.84</v>
      </c>
      <c r="AJ26" s="23">
        <f t="shared" si="146"/>
        <v>198.14400000000001</v>
      </c>
      <c r="AK26" s="25" t="s">
        <v>9</v>
      </c>
      <c r="AL26" s="22">
        <v>0.04</v>
      </c>
      <c r="AM26" s="23">
        <f t="shared" ref="AM26:AZ26" si="147">0.04*12*AM35</f>
        <v>125.23199999999999</v>
      </c>
      <c r="AN26" s="23">
        <f t="shared" si="147"/>
        <v>238.07999999999998</v>
      </c>
      <c r="AO26" s="23">
        <f t="shared" si="147"/>
        <v>251.04</v>
      </c>
      <c r="AP26" s="23">
        <f t="shared" si="147"/>
        <v>249.02399999999997</v>
      </c>
      <c r="AQ26" s="23">
        <f t="shared" si="147"/>
        <v>280.75199999999995</v>
      </c>
      <c r="AR26" s="23">
        <f t="shared" si="147"/>
        <v>279.55199999999996</v>
      </c>
      <c r="AS26" s="23">
        <f t="shared" si="147"/>
        <v>157.584</v>
      </c>
      <c r="AT26" s="23">
        <f t="shared" si="147"/>
        <v>288.14399999999995</v>
      </c>
      <c r="AU26" s="23">
        <f t="shared" si="147"/>
        <v>283.82399999999996</v>
      </c>
      <c r="AV26" s="23">
        <f t="shared" si="147"/>
        <v>147.648</v>
      </c>
      <c r="AW26" s="23">
        <f t="shared" si="147"/>
        <v>318.28800000000001</v>
      </c>
      <c r="AX26" s="23">
        <f t="shared" si="147"/>
        <v>262.22399999999999</v>
      </c>
      <c r="AY26" s="23">
        <f t="shared" si="147"/>
        <v>197.904</v>
      </c>
      <c r="AZ26" s="23">
        <f t="shared" si="147"/>
        <v>165.024</v>
      </c>
      <c r="BA26" s="25" t="s">
        <v>9</v>
      </c>
      <c r="BB26" s="22">
        <v>0.04</v>
      </c>
      <c r="BC26" s="23">
        <f t="shared" ref="BC26" si="148">0.04*12*BC35</f>
        <v>243.21599999999998</v>
      </c>
      <c r="BD26" s="25" t="s">
        <v>9</v>
      </c>
      <c r="BE26" s="22">
        <v>0.04</v>
      </c>
      <c r="BF26" s="23">
        <f t="shared" ref="BF26:BO26" si="149">0.04*12*BF35</f>
        <v>317.85599999999999</v>
      </c>
      <c r="BG26" s="23">
        <f t="shared" si="149"/>
        <v>474</v>
      </c>
      <c r="BH26" s="23">
        <f t="shared" si="149"/>
        <v>280.416</v>
      </c>
      <c r="BI26" s="23">
        <f t="shared" si="149"/>
        <v>191.85599999999999</v>
      </c>
      <c r="BJ26" s="23">
        <f t="shared" si="149"/>
        <v>410.01600000000002</v>
      </c>
      <c r="BK26" s="23">
        <f t="shared" si="149"/>
        <v>416.01600000000002</v>
      </c>
      <c r="BL26" s="23">
        <f t="shared" si="149"/>
        <v>276.48</v>
      </c>
      <c r="BM26" s="23">
        <f t="shared" si="149"/>
        <v>286.84800000000001</v>
      </c>
      <c r="BN26" s="23">
        <f t="shared" si="149"/>
        <v>285.16800000000001</v>
      </c>
      <c r="BO26" s="23">
        <f t="shared" si="149"/>
        <v>286.32</v>
      </c>
      <c r="BP26" s="25" t="s">
        <v>9</v>
      </c>
      <c r="BQ26" s="22">
        <v>0.04</v>
      </c>
      <c r="BR26" s="23">
        <f>0.04*12*BR35</f>
        <v>125.23199999999999</v>
      </c>
      <c r="BS26" s="23">
        <f t="shared" ref="BS26:CF26" si="150">0.04*12*BS35</f>
        <v>238.07999999999998</v>
      </c>
      <c r="BT26" s="23">
        <f t="shared" si="150"/>
        <v>251.04</v>
      </c>
      <c r="BU26" s="23">
        <f t="shared" si="150"/>
        <v>249.02399999999997</v>
      </c>
      <c r="BV26" s="23">
        <f t="shared" si="150"/>
        <v>280.75199999999995</v>
      </c>
      <c r="BW26" s="23">
        <f t="shared" si="150"/>
        <v>279.55199999999996</v>
      </c>
      <c r="BX26" s="23">
        <f t="shared" si="150"/>
        <v>157.584</v>
      </c>
      <c r="BY26" s="23">
        <f t="shared" si="150"/>
        <v>288.14399999999995</v>
      </c>
      <c r="BZ26" s="23">
        <f t="shared" si="150"/>
        <v>283.82399999999996</v>
      </c>
      <c r="CA26" s="23">
        <f t="shared" si="150"/>
        <v>247.92</v>
      </c>
      <c r="CB26" s="23">
        <f t="shared" si="150"/>
        <v>147.648</v>
      </c>
      <c r="CC26" s="23">
        <f t="shared" si="150"/>
        <v>318.28800000000001</v>
      </c>
      <c r="CD26" s="23">
        <f t="shared" si="150"/>
        <v>262.22399999999999</v>
      </c>
      <c r="CE26" s="23">
        <f t="shared" si="150"/>
        <v>197.904</v>
      </c>
      <c r="CF26" s="23">
        <f t="shared" si="150"/>
        <v>165.024</v>
      </c>
      <c r="CG26" s="54" t="s">
        <v>216</v>
      </c>
      <c r="CH26" s="54"/>
      <c r="CI26" s="54"/>
      <c r="CJ26" s="54"/>
      <c r="CK26" s="54"/>
      <c r="CL26" s="54"/>
      <c r="CM26" s="24" t="s">
        <v>9</v>
      </c>
      <c r="CN26" s="23">
        <v>0.03</v>
      </c>
      <c r="CO26" s="23">
        <f>0.03*12*CO35</f>
        <v>560.34</v>
      </c>
    </row>
    <row r="27" spans="1:93" s="5" customFormat="1" ht="87" customHeight="1">
      <c r="A27" s="54" t="s">
        <v>47</v>
      </c>
      <c r="B27" s="54"/>
      <c r="C27" s="54"/>
      <c r="D27" s="54"/>
      <c r="E27" s="54"/>
      <c r="F27" s="54"/>
      <c r="G27" s="22" t="s">
        <v>8</v>
      </c>
      <c r="H27" s="23">
        <f>0.32+0.18+0.38</f>
        <v>0.88</v>
      </c>
      <c r="I27" s="23">
        <f>0.88*12*I35</f>
        <v>7178.6880000000001</v>
      </c>
      <c r="J27" s="23">
        <f t="shared" ref="J27:AJ27" si="151">0.88*12*J35</f>
        <v>4802.6880000000001</v>
      </c>
      <c r="K27" s="23">
        <f t="shared" si="151"/>
        <v>5637.9840000000004</v>
      </c>
      <c r="L27" s="23">
        <f t="shared" si="151"/>
        <v>5516.5439999999999</v>
      </c>
      <c r="M27" s="23">
        <f t="shared" si="151"/>
        <v>3480.5760000000005</v>
      </c>
      <c r="N27" s="23">
        <f t="shared" si="151"/>
        <v>7886.2079999999996</v>
      </c>
      <c r="O27" s="23">
        <f t="shared" si="151"/>
        <v>3514.3680000000004</v>
      </c>
      <c r="P27" s="23">
        <f t="shared" si="151"/>
        <v>5597.8560000000007</v>
      </c>
      <c r="Q27" s="23">
        <f t="shared" si="151"/>
        <v>11251.68</v>
      </c>
      <c r="R27" s="23">
        <f t="shared" si="151"/>
        <v>6216.6720000000005</v>
      </c>
      <c r="S27" s="23">
        <f t="shared" si="151"/>
        <v>5218.7520000000004</v>
      </c>
      <c r="T27" s="23">
        <f t="shared" si="151"/>
        <v>7823.9040000000005</v>
      </c>
      <c r="U27" s="23">
        <f t="shared" si="151"/>
        <v>6210.3360000000002</v>
      </c>
      <c r="V27" s="23">
        <f t="shared" si="151"/>
        <v>5811.1679999999997</v>
      </c>
      <c r="W27" s="23">
        <f t="shared" si="151"/>
        <v>4120.5119999999997</v>
      </c>
      <c r="X27" s="23">
        <f t="shared" si="151"/>
        <v>3746.6880000000001</v>
      </c>
      <c r="Y27" s="23">
        <f t="shared" si="151"/>
        <v>5796.384</v>
      </c>
      <c r="Z27" s="23">
        <f t="shared" si="151"/>
        <v>10342.464</v>
      </c>
      <c r="AA27" s="23">
        <f t="shared" si="151"/>
        <v>7699.2960000000003</v>
      </c>
      <c r="AB27" s="23">
        <f t="shared" si="151"/>
        <v>4996.9920000000002</v>
      </c>
      <c r="AC27" s="23">
        <f t="shared" si="151"/>
        <v>6301.152000000001</v>
      </c>
      <c r="AD27" s="23">
        <f t="shared" si="151"/>
        <v>6094.1760000000004</v>
      </c>
      <c r="AE27" s="23">
        <f t="shared" si="151"/>
        <v>6049.8239999999996</v>
      </c>
      <c r="AF27" s="23">
        <f t="shared" si="151"/>
        <v>4497.5039999999999</v>
      </c>
      <c r="AG27" s="23">
        <f t="shared" si="151"/>
        <v>4465.8239999999996</v>
      </c>
      <c r="AH27" s="23">
        <f t="shared" si="151"/>
        <v>4451.04</v>
      </c>
      <c r="AI27" s="23">
        <f t="shared" si="151"/>
        <v>4440.4800000000005</v>
      </c>
      <c r="AJ27" s="23">
        <f t="shared" si="151"/>
        <v>4359.1680000000006</v>
      </c>
      <c r="AK27" s="23" t="s">
        <v>8</v>
      </c>
      <c r="AL27" s="22">
        <v>4.0199999999999996</v>
      </c>
      <c r="AM27" s="23">
        <f>4.02*12*AM35</f>
        <v>12585.815999999997</v>
      </c>
      <c r="AN27" s="23">
        <f t="shared" ref="AN27:AZ27" si="152">4.02*12*AN35</f>
        <v>23927.039999999997</v>
      </c>
      <c r="AO27" s="23">
        <f t="shared" si="152"/>
        <v>25229.519999999997</v>
      </c>
      <c r="AP27" s="23">
        <f t="shared" si="152"/>
        <v>25026.911999999997</v>
      </c>
      <c r="AQ27" s="23">
        <f t="shared" si="152"/>
        <v>28215.575999999997</v>
      </c>
      <c r="AR27" s="23">
        <f t="shared" si="152"/>
        <v>28094.975999999995</v>
      </c>
      <c r="AS27" s="23">
        <f t="shared" si="152"/>
        <v>15837.191999999999</v>
      </c>
      <c r="AT27" s="23">
        <f t="shared" si="152"/>
        <v>28958.471999999994</v>
      </c>
      <c r="AU27" s="23">
        <f t="shared" si="152"/>
        <v>28524.311999999994</v>
      </c>
      <c r="AV27" s="23">
        <f t="shared" si="152"/>
        <v>14838.624</v>
      </c>
      <c r="AW27" s="23">
        <f t="shared" si="152"/>
        <v>31987.944</v>
      </c>
      <c r="AX27" s="23">
        <f t="shared" si="152"/>
        <v>26353.511999999995</v>
      </c>
      <c r="AY27" s="23">
        <f t="shared" si="152"/>
        <v>19889.351999999999</v>
      </c>
      <c r="AZ27" s="23">
        <f t="shared" si="152"/>
        <v>16584.912</v>
      </c>
      <c r="BA27" s="23" t="s">
        <v>8</v>
      </c>
      <c r="BB27" s="22">
        <v>0.47</v>
      </c>
      <c r="BC27" s="23">
        <f>0.47*12*BC35</f>
        <v>2857.7879999999996</v>
      </c>
      <c r="BD27" s="23" t="s">
        <v>8</v>
      </c>
      <c r="BE27" s="22">
        <v>0.88</v>
      </c>
      <c r="BF27" s="23">
        <f>0.88*12*BF35</f>
        <v>6992.8320000000012</v>
      </c>
      <c r="BG27" s="23">
        <f t="shared" ref="BG27:BO27" si="153">0.88*12*BG35</f>
        <v>10428</v>
      </c>
      <c r="BH27" s="23">
        <f t="shared" si="153"/>
        <v>6169.152000000001</v>
      </c>
      <c r="BI27" s="23">
        <f t="shared" si="153"/>
        <v>4220.8320000000003</v>
      </c>
      <c r="BJ27" s="23">
        <f t="shared" si="153"/>
        <v>9020.3520000000008</v>
      </c>
      <c r="BK27" s="23">
        <f t="shared" si="153"/>
        <v>9152.3520000000008</v>
      </c>
      <c r="BL27" s="23">
        <f t="shared" si="153"/>
        <v>6082.56</v>
      </c>
      <c r="BM27" s="23">
        <f t="shared" si="153"/>
        <v>6310.6560000000009</v>
      </c>
      <c r="BN27" s="23">
        <f t="shared" si="153"/>
        <v>6273.6960000000008</v>
      </c>
      <c r="BO27" s="23">
        <f t="shared" si="153"/>
        <v>6299.04</v>
      </c>
      <c r="BP27" s="23" t="s">
        <v>8</v>
      </c>
      <c r="BQ27" s="22">
        <v>1.79</v>
      </c>
      <c r="BR27" s="23">
        <f>1.79*12*BR35</f>
        <v>5604.1319999999996</v>
      </c>
      <c r="BS27" s="23">
        <f t="shared" ref="BS27:CF27" si="154">1.79*12*BS35</f>
        <v>10654.08</v>
      </c>
      <c r="BT27" s="23">
        <f t="shared" si="154"/>
        <v>11234.04</v>
      </c>
      <c r="BU27" s="23">
        <f t="shared" si="154"/>
        <v>11143.823999999999</v>
      </c>
      <c r="BV27" s="23">
        <f t="shared" si="154"/>
        <v>12563.652</v>
      </c>
      <c r="BW27" s="23">
        <f t="shared" si="154"/>
        <v>12509.951999999999</v>
      </c>
      <c r="BX27" s="23">
        <f t="shared" si="154"/>
        <v>7051.884</v>
      </c>
      <c r="BY27" s="23">
        <f t="shared" si="154"/>
        <v>12894.444</v>
      </c>
      <c r="BZ27" s="23">
        <f t="shared" si="154"/>
        <v>12701.124</v>
      </c>
      <c r="CA27" s="23">
        <f t="shared" si="154"/>
        <v>11094.42</v>
      </c>
      <c r="CB27" s="23">
        <f t="shared" si="154"/>
        <v>6607.2480000000005</v>
      </c>
      <c r="CC27" s="23">
        <f t="shared" si="154"/>
        <v>14243.388000000001</v>
      </c>
      <c r="CD27" s="23">
        <f t="shared" si="154"/>
        <v>11734.523999999999</v>
      </c>
      <c r="CE27" s="23">
        <f t="shared" si="154"/>
        <v>8856.2039999999997</v>
      </c>
      <c r="CF27" s="23">
        <f t="shared" si="154"/>
        <v>7384.8240000000005</v>
      </c>
      <c r="CG27" s="54" t="s">
        <v>217</v>
      </c>
      <c r="CH27" s="54"/>
      <c r="CI27" s="54"/>
      <c r="CJ27" s="54"/>
      <c r="CK27" s="54"/>
      <c r="CL27" s="54"/>
      <c r="CM27" s="22" t="s">
        <v>8</v>
      </c>
      <c r="CN27" s="23">
        <v>3.99</v>
      </c>
      <c r="CO27" s="23">
        <f>3.99*12*CO35</f>
        <v>74525.22</v>
      </c>
    </row>
    <row r="28" spans="1:93" s="5" customFormat="1">
      <c r="A28" s="53" t="s">
        <v>7</v>
      </c>
      <c r="B28" s="53"/>
      <c r="C28" s="53"/>
      <c r="D28" s="53"/>
      <c r="E28" s="53"/>
      <c r="F28" s="53"/>
      <c r="G28" s="18"/>
      <c r="H28" s="28">
        <f t="shared" ref="H28" si="155">SUM(H29:H33)</f>
        <v>11.659999999999997</v>
      </c>
      <c r="I28" s="28">
        <f t="shared" ref="I28:M28" si="156">SUM(I29:I33)</f>
        <v>95117.615999999965</v>
      </c>
      <c r="J28" s="28">
        <f t="shared" si="156"/>
        <v>63635.615999999995</v>
      </c>
      <c r="K28" s="28">
        <f t="shared" si="156"/>
        <v>74703.287999999986</v>
      </c>
      <c r="L28" s="28">
        <f t="shared" ref="L28:O28" si="157">SUM(L29:L33)</f>
        <v>73094.207999999984</v>
      </c>
      <c r="M28" s="28">
        <f t="shared" si="156"/>
        <v>46117.632000000005</v>
      </c>
      <c r="N28" s="28">
        <f t="shared" si="157"/>
        <v>104492.25599999999</v>
      </c>
      <c r="O28" s="28">
        <f t="shared" si="157"/>
        <v>46565.375999999997</v>
      </c>
      <c r="P28" s="28">
        <f t="shared" ref="P28:U28" si="158">SUM(P29:P33)</f>
        <v>74171.592000000004</v>
      </c>
      <c r="Q28" s="28">
        <f t="shared" si="158"/>
        <v>149084.75999999998</v>
      </c>
      <c r="R28" s="28">
        <f t="shared" si="158"/>
        <v>82370.90400000001</v>
      </c>
      <c r="S28" s="28">
        <f t="shared" si="158"/>
        <v>69148.463999999993</v>
      </c>
      <c r="T28" s="28">
        <f t="shared" si="158"/>
        <v>103666.72799999997</v>
      </c>
      <c r="U28" s="28">
        <f t="shared" si="158"/>
        <v>82286.95199999999</v>
      </c>
      <c r="V28" s="28">
        <f t="shared" ref="V28:AA28" si="159">SUM(V29:V33)</f>
        <v>76997.975999999981</v>
      </c>
      <c r="W28" s="28">
        <f t="shared" si="159"/>
        <v>54596.784</v>
      </c>
      <c r="X28" s="28">
        <f t="shared" si="159"/>
        <v>49643.615999999995</v>
      </c>
      <c r="Y28" s="28">
        <f t="shared" si="159"/>
        <v>76802.087999999989</v>
      </c>
      <c r="Z28" s="28">
        <f t="shared" si="159"/>
        <v>137037.64799999999</v>
      </c>
      <c r="AA28" s="28">
        <f t="shared" si="159"/>
        <v>102015.67199999999</v>
      </c>
      <c r="AB28" s="28">
        <f t="shared" ref="AB28:AC28" si="160">SUM(AB29:AB33)</f>
        <v>66210.144</v>
      </c>
      <c r="AC28" s="28">
        <f t="shared" si="160"/>
        <v>83490.263999999996</v>
      </c>
      <c r="AD28" s="28">
        <f t="shared" ref="AD28:AJ28" si="161">SUM(AD29:AD33)</f>
        <v>80747.831999999995</v>
      </c>
      <c r="AE28" s="28">
        <f t="shared" si="161"/>
        <v>80160.167999999976</v>
      </c>
      <c r="AF28" s="28">
        <f t="shared" si="161"/>
        <v>59591.927999999985</v>
      </c>
      <c r="AG28" s="28">
        <f t="shared" si="161"/>
        <v>59172.167999999998</v>
      </c>
      <c r="AH28" s="28">
        <f t="shared" si="161"/>
        <v>58976.279999999992</v>
      </c>
      <c r="AI28" s="28">
        <f t="shared" si="161"/>
        <v>58836.359999999986</v>
      </c>
      <c r="AJ28" s="28">
        <f t="shared" si="161"/>
        <v>57758.975999999995</v>
      </c>
      <c r="AK28" s="20"/>
      <c r="AL28" s="29">
        <v>6.8</v>
      </c>
      <c r="AM28" s="28">
        <f t="shared" ref="AM28:AP28" si="162">SUM(AM29:AM33)</f>
        <v>21289.439999999999</v>
      </c>
      <c r="AN28" s="28">
        <f t="shared" si="162"/>
        <v>40473.599999999999</v>
      </c>
      <c r="AO28" s="28">
        <f t="shared" si="162"/>
        <v>42676.799999999996</v>
      </c>
      <c r="AP28" s="28">
        <f t="shared" si="162"/>
        <v>42334.079999999994</v>
      </c>
      <c r="AQ28" s="28">
        <f t="shared" ref="AQ28:AZ28" si="163">SUM(AQ29:AQ33)</f>
        <v>47727.839999999989</v>
      </c>
      <c r="AR28" s="28">
        <f t="shared" ref="AR28:AU28" si="164">SUM(AR29:AR33)</f>
        <v>47523.839999999989</v>
      </c>
      <c r="AS28" s="28">
        <f t="shared" si="164"/>
        <v>26789.280000000002</v>
      </c>
      <c r="AT28" s="28">
        <f t="shared" si="164"/>
        <v>48984.480000000003</v>
      </c>
      <c r="AU28" s="28">
        <f t="shared" si="164"/>
        <v>48250.079999999994</v>
      </c>
      <c r="AV28" s="28">
        <f t="shared" si="163"/>
        <v>25100.160000000003</v>
      </c>
      <c r="AW28" s="28">
        <f t="shared" si="163"/>
        <v>54108.959999999999</v>
      </c>
      <c r="AX28" s="28">
        <f t="shared" ref="AX28" si="165">SUM(AX29:AX33)</f>
        <v>44578.079999999994</v>
      </c>
      <c r="AY28" s="28">
        <f t="shared" ref="AY28" si="166">SUM(AY29:AY33)</f>
        <v>33643.68</v>
      </c>
      <c r="AZ28" s="28">
        <f t="shared" si="163"/>
        <v>28054.079999999998</v>
      </c>
      <c r="BA28" s="20"/>
      <c r="BB28" s="29">
        <v>4.919999999999999</v>
      </c>
      <c r="BC28" s="28">
        <f t="shared" ref="BC28" si="167">SUM(BC29:BC33)</f>
        <v>29915.567999999999</v>
      </c>
      <c r="BD28" s="20"/>
      <c r="BE28" s="29">
        <v>6.28</v>
      </c>
      <c r="BF28" s="28">
        <f t="shared" ref="BF28:BI28" si="168">SUM(BF29:BF33)</f>
        <v>49903.392000000007</v>
      </c>
      <c r="BG28" s="28">
        <f t="shared" si="168"/>
        <v>74417.999999999985</v>
      </c>
      <c r="BH28" s="28">
        <f t="shared" si="168"/>
        <v>44025.311999999998</v>
      </c>
      <c r="BI28" s="28">
        <f t="shared" si="168"/>
        <v>30121.391999999993</v>
      </c>
      <c r="BJ28" s="28">
        <f t="shared" ref="BJ28:BO28" si="169">SUM(BJ29:BJ33)</f>
        <v>64372.511999999995</v>
      </c>
      <c r="BK28" s="28">
        <f t="shared" si="169"/>
        <v>65314.511999999995</v>
      </c>
      <c r="BL28" s="28">
        <f t="shared" si="169"/>
        <v>43407.359999999993</v>
      </c>
      <c r="BM28" s="28">
        <f t="shared" si="169"/>
        <v>45035.135999999999</v>
      </c>
      <c r="BN28" s="28">
        <f t="shared" si="169"/>
        <v>44771.376000000004</v>
      </c>
      <c r="BO28" s="28">
        <f t="shared" si="169"/>
        <v>44952.24</v>
      </c>
      <c r="BP28" s="20"/>
      <c r="BQ28" s="29">
        <v>4.6500000000000004</v>
      </c>
      <c r="BR28" s="28">
        <f t="shared" ref="BR28:CF28" si="170">SUM(BR29:BR33)</f>
        <v>14558.22</v>
      </c>
      <c r="BS28" s="28">
        <f t="shared" si="170"/>
        <v>27676.799999999999</v>
      </c>
      <c r="BT28" s="28">
        <f t="shared" si="170"/>
        <v>29183.4</v>
      </c>
      <c r="BU28" s="28">
        <f t="shared" si="170"/>
        <v>28949.040000000001</v>
      </c>
      <c r="BV28" s="28">
        <f t="shared" si="170"/>
        <v>32637.420000000002</v>
      </c>
      <c r="BW28" s="28">
        <f t="shared" si="170"/>
        <v>32497.919999999995</v>
      </c>
      <c r="BX28" s="28">
        <f t="shared" si="170"/>
        <v>18319.14</v>
      </c>
      <c r="BY28" s="28">
        <f t="shared" si="170"/>
        <v>33496.74</v>
      </c>
      <c r="BZ28" s="28">
        <f t="shared" si="170"/>
        <v>32994.539999999994</v>
      </c>
      <c r="CA28" s="28">
        <f t="shared" si="170"/>
        <v>28820.7</v>
      </c>
      <c r="CB28" s="28">
        <f t="shared" si="170"/>
        <v>17164.080000000002</v>
      </c>
      <c r="CC28" s="28">
        <f t="shared" si="170"/>
        <v>37000.980000000003</v>
      </c>
      <c r="CD28" s="28">
        <f t="shared" si="170"/>
        <v>30483.54</v>
      </c>
      <c r="CE28" s="28">
        <f t="shared" si="170"/>
        <v>23006.34</v>
      </c>
      <c r="CF28" s="28">
        <f t="shared" si="170"/>
        <v>19184.04</v>
      </c>
      <c r="CG28" s="53" t="s">
        <v>7</v>
      </c>
      <c r="CH28" s="53"/>
      <c r="CI28" s="53"/>
      <c r="CJ28" s="53"/>
      <c r="CK28" s="53"/>
      <c r="CL28" s="53"/>
      <c r="CM28" s="18"/>
      <c r="CN28" s="28">
        <f t="shared" ref="CN28:CO28" si="171">SUM(CN29:CN33)</f>
        <v>3.6899999999999995</v>
      </c>
      <c r="CO28" s="28">
        <f t="shared" si="171"/>
        <v>68921.820000000007</v>
      </c>
    </row>
    <row r="29" spans="1:93" s="5" customFormat="1" ht="207.75" customHeight="1">
      <c r="A29" s="54" t="s">
        <v>39</v>
      </c>
      <c r="B29" s="54"/>
      <c r="C29" s="54"/>
      <c r="D29" s="54"/>
      <c r="E29" s="54"/>
      <c r="F29" s="54"/>
      <c r="G29" s="24" t="s">
        <v>44</v>
      </c>
      <c r="H29" s="23">
        <f>0.49+0.35+2.46+2.46+0.81+0.1+0.13+0.14+0.1+0.03+0.02+0.04+0.01</f>
        <v>7.1399999999999988</v>
      </c>
      <c r="I29" s="23">
        <f>7.14*12*I35</f>
        <v>58245.263999999988</v>
      </c>
      <c r="J29" s="23">
        <f t="shared" ref="J29:AJ29" si="172">7.14*12*J35</f>
        <v>38967.263999999996</v>
      </c>
      <c r="K29" s="23">
        <f t="shared" si="172"/>
        <v>45744.551999999996</v>
      </c>
      <c r="L29" s="23">
        <f t="shared" si="172"/>
        <v>44759.231999999996</v>
      </c>
      <c r="M29" s="23">
        <f t="shared" si="172"/>
        <v>28240.128000000001</v>
      </c>
      <c r="N29" s="23">
        <f t="shared" si="172"/>
        <v>63985.823999999993</v>
      </c>
      <c r="O29" s="23">
        <f t="shared" si="172"/>
        <v>28514.304</v>
      </c>
      <c r="P29" s="23">
        <f t="shared" si="172"/>
        <v>45418.968000000001</v>
      </c>
      <c r="Q29" s="23">
        <f t="shared" si="172"/>
        <v>91292.04</v>
      </c>
      <c r="R29" s="23">
        <f t="shared" si="172"/>
        <v>50439.815999999999</v>
      </c>
      <c r="S29" s="23">
        <f t="shared" si="172"/>
        <v>42343.055999999997</v>
      </c>
      <c r="T29" s="23">
        <f t="shared" si="172"/>
        <v>63480.311999999991</v>
      </c>
      <c r="U29" s="23">
        <f t="shared" si="172"/>
        <v>50388.407999999996</v>
      </c>
      <c r="V29" s="23">
        <f t="shared" si="172"/>
        <v>47149.703999999991</v>
      </c>
      <c r="W29" s="23">
        <f t="shared" si="172"/>
        <v>33432.335999999996</v>
      </c>
      <c r="X29" s="23">
        <f t="shared" si="172"/>
        <v>30399.263999999999</v>
      </c>
      <c r="Y29" s="23">
        <f t="shared" si="172"/>
        <v>47029.751999999993</v>
      </c>
      <c r="Z29" s="23">
        <f t="shared" si="172"/>
        <v>83914.991999999984</v>
      </c>
      <c r="AA29" s="23">
        <f t="shared" si="172"/>
        <v>62469.287999999993</v>
      </c>
      <c r="AB29" s="23">
        <f t="shared" si="172"/>
        <v>40543.775999999998</v>
      </c>
      <c r="AC29" s="23">
        <f t="shared" si="172"/>
        <v>51125.256000000001</v>
      </c>
      <c r="AD29" s="23">
        <f t="shared" si="172"/>
        <v>49445.928</v>
      </c>
      <c r="AE29" s="23">
        <f t="shared" si="172"/>
        <v>49086.071999999993</v>
      </c>
      <c r="AF29" s="23">
        <f t="shared" si="172"/>
        <v>36491.111999999994</v>
      </c>
      <c r="AG29" s="23">
        <f t="shared" si="172"/>
        <v>36234.071999999993</v>
      </c>
      <c r="AH29" s="23">
        <f t="shared" si="172"/>
        <v>36114.119999999995</v>
      </c>
      <c r="AI29" s="23">
        <f t="shared" si="172"/>
        <v>36028.439999999995</v>
      </c>
      <c r="AJ29" s="23">
        <f t="shared" si="172"/>
        <v>35368.703999999998</v>
      </c>
      <c r="AK29" s="25" t="s">
        <v>44</v>
      </c>
      <c r="AL29" s="22">
        <v>2.2400000000000002</v>
      </c>
      <c r="AM29" s="23">
        <f>2.24*12*AM35</f>
        <v>7012.9920000000002</v>
      </c>
      <c r="AN29" s="23">
        <f t="shared" ref="AN29:AZ29" si="173">2.24*12*AN35</f>
        <v>13332.480000000001</v>
      </c>
      <c r="AO29" s="23">
        <f t="shared" si="173"/>
        <v>14058.240000000002</v>
      </c>
      <c r="AP29" s="23">
        <f t="shared" si="173"/>
        <v>13945.344000000001</v>
      </c>
      <c r="AQ29" s="23">
        <f t="shared" si="173"/>
        <v>15722.112000000001</v>
      </c>
      <c r="AR29" s="23">
        <f t="shared" si="173"/>
        <v>15654.912</v>
      </c>
      <c r="AS29" s="23">
        <f t="shared" si="173"/>
        <v>8824.7040000000015</v>
      </c>
      <c r="AT29" s="23">
        <f t="shared" si="173"/>
        <v>16136.064</v>
      </c>
      <c r="AU29" s="23">
        <f t="shared" si="173"/>
        <v>15894.144</v>
      </c>
      <c r="AV29" s="23">
        <f t="shared" si="173"/>
        <v>8268.2880000000023</v>
      </c>
      <c r="AW29" s="23">
        <f t="shared" si="173"/>
        <v>17824.128000000001</v>
      </c>
      <c r="AX29" s="23">
        <f t="shared" si="173"/>
        <v>14684.544</v>
      </c>
      <c r="AY29" s="23">
        <f t="shared" si="173"/>
        <v>11082.624000000002</v>
      </c>
      <c r="AZ29" s="23">
        <f t="shared" si="173"/>
        <v>9241.344000000001</v>
      </c>
      <c r="BA29" s="25" t="s">
        <v>44</v>
      </c>
      <c r="BB29" s="22">
        <v>3.0399999999999991</v>
      </c>
      <c r="BC29" s="23">
        <f>3.04*12*BC35</f>
        <v>18484.416000000001</v>
      </c>
      <c r="BD29" s="25" t="s">
        <v>44</v>
      </c>
      <c r="BE29" s="22">
        <v>3.3000000000000003</v>
      </c>
      <c r="BF29" s="23">
        <f>3.3*12*BF35</f>
        <v>26223.119999999999</v>
      </c>
      <c r="BG29" s="23">
        <f t="shared" ref="BG29:BO29" si="174">3.3*12*BG35</f>
        <v>39104.999999999993</v>
      </c>
      <c r="BH29" s="23">
        <f t="shared" si="174"/>
        <v>23134.32</v>
      </c>
      <c r="BI29" s="23">
        <f t="shared" si="174"/>
        <v>15828.119999999997</v>
      </c>
      <c r="BJ29" s="23">
        <f t="shared" si="174"/>
        <v>33826.32</v>
      </c>
      <c r="BK29" s="23">
        <f t="shared" si="174"/>
        <v>34321.32</v>
      </c>
      <c r="BL29" s="23">
        <f t="shared" si="174"/>
        <v>22809.599999999999</v>
      </c>
      <c r="BM29" s="23">
        <f t="shared" si="174"/>
        <v>23664.959999999999</v>
      </c>
      <c r="BN29" s="23">
        <f t="shared" si="174"/>
        <v>23526.359999999997</v>
      </c>
      <c r="BO29" s="23">
        <f t="shared" si="174"/>
        <v>23621.399999999998</v>
      </c>
      <c r="BP29" s="25" t="s">
        <v>44</v>
      </c>
      <c r="BQ29" s="22">
        <v>1.9600000000000002</v>
      </c>
      <c r="BR29" s="23">
        <f>1.96*12*BR35</f>
        <v>6136.3679999999995</v>
      </c>
      <c r="BS29" s="23">
        <f t="shared" ref="BS29:CF29" si="175">1.96*12*BS35</f>
        <v>11665.92</v>
      </c>
      <c r="BT29" s="23">
        <f t="shared" si="175"/>
        <v>12300.96</v>
      </c>
      <c r="BU29" s="23">
        <f t="shared" si="175"/>
        <v>12202.175999999999</v>
      </c>
      <c r="BV29" s="23">
        <f t="shared" si="175"/>
        <v>13756.848</v>
      </c>
      <c r="BW29" s="23">
        <f t="shared" si="175"/>
        <v>13698.047999999999</v>
      </c>
      <c r="BX29" s="23">
        <f t="shared" si="175"/>
        <v>7721.616</v>
      </c>
      <c r="BY29" s="23">
        <f t="shared" si="175"/>
        <v>14119.055999999999</v>
      </c>
      <c r="BZ29" s="23">
        <f t="shared" si="175"/>
        <v>13907.375999999998</v>
      </c>
      <c r="CA29" s="23">
        <f t="shared" si="175"/>
        <v>12148.08</v>
      </c>
      <c r="CB29" s="23">
        <f t="shared" si="175"/>
        <v>7234.7520000000004</v>
      </c>
      <c r="CC29" s="23">
        <f t="shared" si="175"/>
        <v>15596.112000000001</v>
      </c>
      <c r="CD29" s="23">
        <f t="shared" si="175"/>
        <v>12848.975999999999</v>
      </c>
      <c r="CE29" s="23">
        <f t="shared" si="175"/>
        <v>9697.2960000000003</v>
      </c>
      <c r="CF29" s="23">
        <f t="shared" si="175"/>
        <v>8086.1760000000004</v>
      </c>
      <c r="CG29" s="54" t="s">
        <v>219</v>
      </c>
      <c r="CH29" s="54"/>
      <c r="CI29" s="54"/>
      <c r="CJ29" s="54"/>
      <c r="CK29" s="54"/>
      <c r="CL29" s="54"/>
      <c r="CM29" s="24" t="s">
        <v>221</v>
      </c>
      <c r="CN29" s="23">
        <v>0.72</v>
      </c>
      <c r="CO29" s="23">
        <f>0.72*12*CO35</f>
        <v>13448.160000000002</v>
      </c>
    </row>
    <row r="30" spans="1:93" s="5" customFormat="1" ht="87" customHeight="1">
      <c r="A30" s="55" t="s">
        <v>6</v>
      </c>
      <c r="B30" s="55"/>
      <c r="C30" s="55"/>
      <c r="D30" s="55"/>
      <c r="E30" s="55"/>
      <c r="F30" s="55"/>
      <c r="G30" s="24" t="s">
        <v>5</v>
      </c>
      <c r="H30" s="23">
        <v>1.4</v>
      </c>
      <c r="I30" s="23">
        <f>1.4*12*I35</f>
        <v>11420.639999999998</v>
      </c>
      <c r="J30" s="23">
        <f t="shared" ref="J30:AJ30" si="176">1.4*12*J35</f>
        <v>7640.6399999999985</v>
      </c>
      <c r="K30" s="23">
        <f t="shared" si="176"/>
        <v>8969.5199999999986</v>
      </c>
      <c r="L30" s="23">
        <f t="shared" si="176"/>
        <v>8776.3199999999979</v>
      </c>
      <c r="M30" s="23">
        <f t="shared" si="176"/>
        <v>5537.28</v>
      </c>
      <c r="N30" s="23">
        <f t="shared" si="176"/>
        <v>12546.239999999998</v>
      </c>
      <c r="O30" s="23">
        <f t="shared" si="176"/>
        <v>5591.0399999999991</v>
      </c>
      <c r="P30" s="23">
        <f t="shared" si="176"/>
        <v>8905.6799999999985</v>
      </c>
      <c r="Q30" s="23">
        <f t="shared" si="176"/>
        <v>17900.399999999998</v>
      </c>
      <c r="R30" s="23">
        <f t="shared" si="176"/>
        <v>9890.16</v>
      </c>
      <c r="S30" s="23">
        <f t="shared" si="176"/>
        <v>8302.5599999999977</v>
      </c>
      <c r="T30" s="23">
        <f t="shared" si="176"/>
        <v>12447.119999999997</v>
      </c>
      <c r="U30" s="23">
        <f t="shared" si="176"/>
        <v>9880.0799999999981</v>
      </c>
      <c r="V30" s="23">
        <f t="shared" si="176"/>
        <v>9245.0399999999972</v>
      </c>
      <c r="W30" s="23">
        <f t="shared" si="176"/>
        <v>6555.3599999999988</v>
      </c>
      <c r="X30" s="23">
        <f t="shared" si="176"/>
        <v>5960.6399999999994</v>
      </c>
      <c r="Y30" s="23">
        <f t="shared" si="176"/>
        <v>9221.5199999999986</v>
      </c>
      <c r="Z30" s="23">
        <f t="shared" si="176"/>
        <v>16453.919999999998</v>
      </c>
      <c r="AA30" s="23">
        <f t="shared" si="176"/>
        <v>12248.88</v>
      </c>
      <c r="AB30" s="23">
        <f t="shared" si="176"/>
        <v>7949.7599999999984</v>
      </c>
      <c r="AC30" s="23">
        <f t="shared" si="176"/>
        <v>10024.56</v>
      </c>
      <c r="AD30" s="23">
        <f t="shared" si="176"/>
        <v>9695.2799999999988</v>
      </c>
      <c r="AE30" s="23">
        <f t="shared" si="176"/>
        <v>9624.7199999999975</v>
      </c>
      <c r="AF30" s="23">
        <f t="shared" si="176"/>
        <v>7155.1199999999981</v>
      </c>
      <c r="AG30" s="23">
        <f t="shared" si="176"/>
        <v>7104.7199999999984</v>
      </c>
      <c r="AH30" s="23">
        <f t="shared" si="176"/>
        <v>7081.1999999999989</v>
      </c>
      <c r="AI30" s="23">
        <f t="shared" si="176"/>
        <v>7064.3999999999987</v>
      </c>
      <c r="AJ30" s="23">
        <f t="shared" si="176"/>
        <v>6935.0399999999991</v>
      </c>
      <c r="AK30" s="25" t="s">
        <v>5</v>
      </c>
      <c r="AL30" s="22">
        <v>1.39</v>
      </c>
      <c r="AM30" s="23">
        <f>1.39*12*AM35</f>
        <v>4351.8119999999999</v>
      </c>
      <c r="AN30" s="23">
        <f t="shared" ref="AN30:AZ30" si="177">1.39*12*AN35</f>
        <v>8273.2800000000007</v>
      </c>
      <c r="AO30" s="23">
        <f t="shared" si="177"/>
        <v>8723.64</v>
      </c>
      <c r="AP30" s="23">
        <f t="shared" si="177"/>
        <v>8653.5839999999989</v>
      </c>
      <c r="AQ30" s="23">
        <f t="shared" si="177"/>
        <v>9756.1319999999996</v>
      </c>
      <c r="AR30" s="23">
        <f t="shared" si="177"/>
        <v>9714.4319999999989</v>
      </c>
      <c r="AS30" s="23">
        <f t="shared" si="177"/>
        <v>5476.0439999999999</v>
      </c>
      <c r="AT30" s="23">
        <f t="shared" si="177"/>
        <v>10013.003999999999</v>
      </c>
      <c r="AU30" s="23">
        <f t="shared" si="177"/>
        <v>9862.8839999999982</v>
      </c>
      <c r="AV30" s="23">
        <f t="shared" si="177"/>
        <v>5130.768</v>
      </c>
      <c r="AW30" s="23">
        <f t="shared" si="177"/>
        <v>11060.508</v>
      </c>
      <c r="AX30" s="23">
        <f t="shared" si="177"/>
        <v>9112.2839999999997</v>
      </c>
      <c r="AY30" s="23">
        <f t="shared" si="177"/>
        <v>6877.1639999999998</v>
      </c>
      <c r="AZ30" s="23">
        <f t="shared" si="177"/>
        <v>5734.5839999999998</v>
      </c>
      <c r="BA30" s="25" t="s">
        <v>5</v>
      </c>
      <c r="BB30" s="22">
        <v>1.2</v>
      </c>
      <c r="BC30" s="23">
        <f t="shared" ref="BC30" si="178">1.2*12*BC35</f>
        <v>7296.48</v>
      </c>
      <c r="BD30" s="25" t="s">
        <v>5</v>
      </c>
      <c r="BE30" s="22">
        <v>1.4</v>
      </c>
      <c r="BF30" s="23">
        <f>1.4*12*BF35</f>
        <v>11124.96</v>
      </c>
      <c r="BG30" s="23">
        <f t="shared" ref="BG30:BO30" si="179">1.4*12*BG35</f>
        <v>16589.999999999996</v>
      </c>
      <c r="BH30" s="23">
        <f t="shared" si="179"/>
        <v>9814.56</v>
      </c>
      <c r="BI30" s="23">
        <f t="shared" si="179"/>
        <v>6714.9599999999991</v>
      </c>
      <c r="BJ30" s="23">
        <f t="shared" si="179"/>
        <v>14350.559999999998</v>
      </c>
      <c r="BK30" s="23">
        <f t="shared" si="179"/>
        <v>14560.559999999998</v>
      </c>
      <c r="BL30" s="23">
        <f t="shared" si="179"/>
        <v>9676.7999999999993</v>
      </c>
      <c r="BM30" s="23">
        <f t="shared" si="179"/>
        <v>10039.679999999998</v>
      </c>
      <c r="BN30" s="23">
        <f t="shared" si="179"/>
        <v>9980.8799999999992</v>
      </c>
      <c r="BO30" s="23">
        <f t="shared" si="179"/>
        <v>10021.199999999999</v>
      </c>
      <c r="BP30" s="25" t="s">
        <v>5</v>
      </c>
      <c r="BQ30" s="22">
        <v>1.39</v>
      </c>
      <c r="BR30" s="23">
        <f>1.39*12*BR35</f>
        <v>4351.8119999999999</v>
      </c>
      <c r="BS30" s="23">
        <f t="shared" ref="BS30:CF30" si="180">1.39*12*BS35</f>
        <v>8273.2800000000007</v>
      </c>
      <c r="BT30" s="23">
        <f t="shared" si="180"/>
        <v>8723.64</v>
      </c>
      <c r="BU30" s="23">
        <f t="shared" si="180"/>
        <v>8653.5839999999989</v>
      </c>
      <c r="BV30" s="23">
        <f t="shared" si="180"/>
        <v>9756.1319999999996</v>
      </c>
      <c r="BW30" s="23">
        <f t="shared" si="180"/>
        <v>9714.4319999999989</v>
      </c>
      <c r="BX30" s="23">
        <f t="shared" si="180"/>
        <v>5476.0439999999999</v>
      </c>
      <c r="BY30" s="23">
        <f t="shared" si="180"/>
        <v>10013.003999999999</v>
      </c>
      <c r="BZ30" s="23">
        <f t="shared" si="180"/>
        <v>9862.8839999999982</v>
      </c>
      <c r="CA30" s="23">
        <f t="shared" si="180"/>
        <v>8615.2199999999993</v>
      </c>
      <c r="CB30" s="23">
        <f t="shared" si="180"/>
        <v>5130.768</v>
      </c>
      <c r="CC30" s="23">
        <f t="shared" si="180"/>
        <v>11060.508</v>
      </c>
      <c r="CD30" s="23">
        <f t="shared" si="180"/>
        <v>9112.2839999999997</v>
      </c>
      <c r="CE30" s="23">
        <f t="shared" si="180"/>
        <v>6877.1639999999998</v>
      </c>
      <c r="CF30" s="23">
        <f t="shared" si="180"/>
        <v>5734.5839999999998</v>
      </c>
      <c r="CG30" s="55" t="s">
        <v>6</v>
      </c>
      <c r="CH30" s="55"/>
      <c r="CI30" s="55"/>
      <c r="CJ30" s="55"/>
      <c r="CK30" s="55"/>
      <c r="CL30" s="55"/>
      <c r="CM30" s="24" t="s">
        <v>5</v>
      </c>
      <c r="CN30" s="23">
        <v>2.5</v>
      </c>
      <c r="CO30" s="23">
        <f>2.5*12*CO35</f>
        <v>46695</v>
      </c>
    </row>
    <row r="31" spans="1:93" s="5" customFormat="1" ht="33.75">
      <c r="A31" s="55" t="s">
        <v>37</v>
      </c>
      <c r="B31" s="55"/>
      <c r="C31" s="55"/>
      <c r="D31" s="55"/>
      <c r="E31" s="55"/>
      <c r="F31" s="55"/>
      <c r="G31" s="26" t="s">
        <v>45</v>
      </c>
      <c r="H31" s="23">
        <f>0.51+0.3+0.22+0.12+0.17+0.22</f>
        <v>1.5399999999999998</v>
      </c>
      <c r="I31" s="23">
        <f>1.54*12*I35</f>
        <v>12562.704</v>
      </c>
      <c r="J31" s="23">
        <f t="shared" ref="J31:AJ31" si="181">1.54*12*J35</f>
        <v>8404.7039999999997</v>
      </c>
      <c r="K31" s="23">
        <f t="shared" si="181"/>
        <v>9866.4719999999998</v>
      </c>
      <c r="L31" s="23">
        <f t="shared" si="181"/>
        <v>9653.9519999999993</v>
      </c>
      <c r="M31" s="23">
        <f t="shared" si="181"/>
        <v>6091.0080000000007</v>
      </c>
      <c r="N31" s="23">
        <f t="shared" si="181"/>
        <v>13800.864</v>
      </c>
      <c r="O31" s="23">
        <f t="shared" si="181"/>
        <v>6150.1440000000002</v>
      </c>
      <c r="P31" s="23">
        <f t="shared" si="181"/>
        <v>9796.2480000000014</v>
      </c>
      <c r="Q31" s="23">
        <f t="shared" si="181"/>
        <v>19690.439999999999</v>
      </c>
      <c r="R31" s="23">
        <f t="shared" si="181"/>
        <v>10879.176000000001</v>
      </c>
      <c r="S31" s="23">
        <f t="shared" si="181"/>
        <v>9132.8160000000007</v>
      </c>
      <c r="T31" s="23">
        <f t="shared" si="181"/>
        <v>13691.832</v>
      </c>
      <c r="U31" s="23">
        <f t="shared" si="181"/>
        <v>10868.088000000002</v>
      </c>
      <c r="V31" s="23">
        <f t="shared" si="181"/>
        <v>10169.544</v>
      </c>
      <c r="W31" s="23">
        <f t="shared" si="181"/>
        <v>7210.8959999999997</v>
      </c>
      <c r="X31" s="23">
        <f t="shared" si="181"/>
        <v>6556.7040000000006</v>
      </c>
      <c r="Y31" s="23">
        <f t="shared" si="181"/>
        <v>10143.672</v>
      </c>
      <c r="Z31" s="23">
        <f t="shared" si="181"/>
        <v>18099.312000000002</v>
      </c>
      <c r="AA31" s="23">
        <f t="shared" si="181"/>
        <v>13473.768</v>
      </c>
      <c r="AB31" s="23">
        <f t="shared" si="181"/>
        <v>8744.7360000000008</v>
      </c>
      <c r="AC31" s="23">
        <f t="shared" si="181"/>
        <v>11027.016000000001</v>
      </c>
      <c r="AD31" s="23">
        <f t="shared" si="181"/>
        <v>10664.808000000001</v>
      </c>
      <c r="AE31" s="23">
        <f t="shared" si="181"/>
        <v>10587.191999999999</v>
      </c>
      <c r="AF31" s="23">
        <f t="shared" si="181"/>
        <v>7870.6319999999996</v>
      </c>
      <c r="AG31" s="23">
        <f t="shared" si="181"/>
        <v>7815.192</v>
      </c>
      <c r="AH31" s="23">
        <f t="shared" si="181"/>
        <v>7789.3200000000006</v>
      </c>
      <c r="AI31" s="23">
        <f t="shared" si="181"/>
        <v>7770.84</v>
      </c>
      <c r="AJ31" s="23">
        <f t="shared" si="181"/>
        <v>7628.5440000000008</v>
      </c>
      <c r="AK31" s="27" t="s">
        <v>45</v>
      </c>
      <c r="AL31" s="22">
        <v>1.5699999999999998</v>
      </c>
      <c r="AM31" s="23">
        <f>1.57*12*AM35</f>
        <v>4915.3559999999998</v>
      </c>
      <c r="AN31" s="23">
        <f t="shared" ref="AN31:AZ31" si="182">1.57*12*AN35</f>
        <v>9344.64</v>
      </c>
      <c r="AO31" s="23">
        <f t="shared" si="182"/>
        <v>9853.32</v>
      </c>
      <c r="AP31" s="23">
        <f t="shared" si="182"/>
        <v>9774.1919999999991</v>
      </c>
      <c r="AQ31" s="23">
        <f t="shared" si="182"/>
        <v>11019.516</v>
      </c>
      <c r="AR31" s="23">
        <f t="shared" si="182"/>
        <v>10972.415999999999</v>
      </c>
      <c r="AS31" s="23">
        <f t="shared" si="182"/>
        <v>6185.1720000000005</v>
      </c>
      <c r="AT31" s="23">
        <f t="shared" si="182"/>
        <v>11309.651999999998</v>
      </c>
      <c r="AU31" s="23">
        <f t="shared" si="182"/>
        <v>11140.091999999999</v>
      </c>
      <c r="AV31" s="23">
        <f t="shared" si="182"/>
        <v>5795.1840000000002</v>
      </c>
      <c r="AW31" s="23">
        <f t="shared" si="182"/>
        <v>12492.804</v>
      </c>
      <c r="AX31" s="23">
        <f t="shared" si="182"/>
        <v>10292.291999999999</v>
      </c>
      <c r="AY31" s="23">
        <f t="shared" si="182"/>
        <v>7767.732</v>
      </c>
      <c r="AZ31" s="23">
        <f t="shared" si="182"/>
        <v>6477.192</v>
      </c>
      <c r="BA31" s="27" t="s">
        <v>45</v>
      </c>
      <c r="BB31" s="22">
        <v>0</v>
      </c>
      <c r="BC31" s="23">
        <f>0*12*BC35</f>
        <v>0</v>
      </c>
      <c r="BD31" s="27" t="s">
        <v>45</v>
      </c>
      <c r="BE31" s="22">
        <v>0</v>
      </c>
      <c r="BF31" s="23">
        <f>0*12*BF35</f>
        <v>0</v>
      </c>
      <c r="BG31" s="23">
        <f t="shared" ref="BG31:BO31" si="183">0*12*BG35</f>
        <v>0</v>
      </c>
      <c r="BH31" s="23">
        <f t="shared" si="183"/>
        <v>0</v>
      </c>
      <c r="BI31" s="23">
        <f t="shared" si="183"/>
        <v>0</v>
      </c>
      <c r="BJ31" s="23">
        <f t="shared" si="183"/>
        <v>0</v>
      </c>
      <c r="BK31" s="23">
        <f t="shared" si="183"/>
        <v>0</v>
      </c>
      <c r="BL31" s="23">
        <f t="shared" si="183"/>
        <v>0</v>
      </c>
      <c r="BM31" s="23">
        <f t="shared" si="183"/>
        <v>0</v>
      </c>
      <c r="BN31" s="23">
        <f t="shared" si="183"/>
        <v>0</v>
      </c>
      <c r="BO31" s="23">
        <f t="shared" si="183"/>
        <v>0</v>
      </c>
      <c r="BP31" s="27" t="s">
        <v>45</v>
      </c>
      <c r="BQ31" s="22">
        <v>0</v>
      </c>
      <c r="BR31" s="23">
        <f>0*12*BR35</f>
        <v>0</v>
      </c>
      <c r="BS31" s="23">
        <f t="shared" ref="BS31:CF31" si="184">0*12*BS35</f>
        <v>0</v>
      </c>
      <c r="BT31" s="23">
        <f t="shared" si="184"/>
        <v>0</v>
      </c>
      <c r="BU31" s="23">
        <f t="shared" si="184"/>
        <v>0</v>
      </c>
      <c r="BV31" s="23">
        <f t="shared" si="184"/>
        <v>0</v>
      </c>
      <c r="BW31" s="23">
        <f t="shared" si="184"/>
        <v>0</v>
      </c>
      <c r="BX31" s="23">
        <f t="shared" si="184"/>
        <v>0</v>
      </c>
      <c r="BY31" s="23">
        <f t="shared" si="184"/>
        <v>0</v>
      </c>
      <c r="BZ31" s="23">
        <f t="shared" si="184"/>
        <v>0</v>
      </c>
      <c r="CA31" s="23">
        <f t="shared" si="184"/>
        <v>0</v>
      </c>
      <c r="CB31" s="23">
        <f t="shared" si="184"/>
        <v>0</v>
      </c>
      <c r="CC31" s="23">
        <f t="shared" si="184"/>
        <v>0</v>
      </c>
      <c r="CD31" s="23">
        <f t="shared" si="184"/>
        <v>0</v>
      </c>
      <c r="CE31" s="23">
        <f t="shared" si="184"/>
        <v>0</v>
      </c>
      <c r="CF31" s="23">
        <f t="shared" si="184"/>
        <v>0</v>
      </c>
      <c r="CG31" s="55"/>
      <c r="CH31" s="55"/>
      <c r="CI31" s="55"/>
      <c r="CJ31" s="55"/>
      <c r="CK31" s="55"/>
      <c r="CL31" s="55"/>
      <c r="CM31" s="26" t="s">
        <v>45</v>
      </c>
      <c r="CN31" s="23"/>
      <c r="CO31" s="23">
        <f>0*12*CO35</f>
        <v>0</v>
      </c>
    </row>
    <row r="32" spans="1:93" s="5" customFormat="1">
      <c r="A32" s="55" t="s">
        <v>50</v>
      </c>
      <c r="B32" s="55"/>
      <c r="C32" s="55"/>
      <c r="D32" s="55"/>
      <c r="E32" s="55"/>
      <c r="F32" s="55"/>
      <c r="G32" s="22" t="s">
        <v>4</v>
      </c>
      <c r="H32" s="23">
        <v>0.87</v>
      </c>
      <c r="I32" s="23">
        <f>0.87*12*I35</f>
        <v>7097.1119999999992</v>
      </c>
      <c r="J32" s="23">
        <f t="shared" ref="J32:AJ32" si="185">0.87*12*J35</f>
        <v>4748.1120000000001</v>
      </c>
      <c r="K32" s="23">
        <f t="shared" si="185"/>
        <v>5573.9159999999993</v>
      </c>
      <c r="L32" s="23">
        <f t="shared" si="185"/>
        <v>5453.8559999999998</v>
      </c>
      <c r="M32" s="23">
        <f t="shared" si="185"/>
        <v>3441.0239999999999</v>
      </c>
      <c r="N32" s="23">
        <f t="shared" si="185"/>
        <v>7796.5919999999987</v>
      </c>
      <c r="O32" s="23">
        <f t="shared" si="185"/>
        <v>3474.4319999999998</v>
      </c>
      <c r="P32" s="23">
        <f t="shared" si="185"/>
        <v>5534.2439999999997</v>
      </c>
      <c r="Q32" s="23">
        <f t="shared" si="185"/>
        <v>11123.82</v>
      </c>
      <c r="R32" s="23">
        <f t="shared" si="185"/>
        <v>6146.0280000000002</v>
      </c>
      <c r="S32" s="23">
        <f t="shared" si="185"/>
        <v>5159.4479999999994</v>
      </c>
      <c r="T32" s="23">
        <f t="shared" si="185"/>
        <v>7734.9959999999992</v>
      </c>
      <c r="U32" s="23">
        <f t="shared" si="185"/>
        <v>6139.7640000000001</v>
      </c>
      <c r="V32" s="23">
        <f t="shared" si="185"/>
        <v>5745.1319999999996</v>
      </c>
      <c r="W32" s="23">
        <f t="shared" si="185"/>
        <v>4073.6879999999996</v>
      </c>
      <c r="X32" s="23">
        <f t="shared" si="185"/>
        <v>3704.1120000000001</v>
      </c>
      <c r="Y32" s="23">
        <f t="shared" si="185"/>
        <v>5730.5159999999996</v>
      </c>
      <c r="Z32" s="23">
        <f t="shared" si="185"/>
        <v>10224.936</v>
      </c>
      <c r="AA32" s="23">
        <f t="shared" si="185"/>
        <v>7611.8040000000001</v>
      </c>
      <c r="AB32" s="23">
        <f t="shared" si="185"/>
        <v>4940.2079999999996</v>
      </c>
      <c r="AC32" s="23">
        <f t="shared" si="185"/>
        <v>6229.5479999999998</v>
      </c>
      <c r="AD32" s="23">
        <f t="shared" si="185"/>
        <v>6024.924</v>
      </c>
      <c r="AE32" s="23">
        <f t="shared" si="185"/>
        <v>5981.0759999999991</v>
      </c>
      <c r="AF32" s="23">
        <f t="shared" si="185"/>
        <v>4446.3959999999997</v>
      </c>
      <c r="AG32" s="23">
        <f t="shared" si="185"/>
        <v>4415.0759999999991</v>
      </c>
      <c r="AH32" s="23">
        <f t="shared" si="185"/>
        <v>4400.46</v>
      </c>
      <c r="AI32" s="23">
        <f t="shared" si="185"/>
        <v>4390.0199999999995</v>
      </c>
      <c r="AJ32" s="23">
        <f t="shared" si="185"/>
        <v>4309.6319999999996</v>
      </c>
      <c r="AK32" s="23" t="s">
        <v>4</v>
      </c>
      <c r="AL32" s="22">
        <v>1.1499999999999999</v>
      </c>
      <c r="AM32" s="23">
        <f>1.15*12*AM35</f>
        <v>3600.4199999999996</v>
      </c>
      <c r="AN32" s="23">
        <f t="shared" ref="AN32:AZ32" si="186">1.15*12*AN35</f>
        <v>6844.7999999999993</v>
      </c>
      <c r="AO32" s="23">
        <f t="shared" si="186"/>
        <v>7217.4</v>
      </c>
      <c r="AP32" s="23">
        <f t="shared" si="186"/>
        <v>7159.4399999999987</v>
      </c>
      <c r="AQ32" s="23">
        <f t="shared" si="186"/>
        <v>8071.619999999999</v>
      </c>
      <c r="AR32" s="23">
        <f t="shared" si="186"/>
        <v>8037.119999999999</v>
      </c>
      <c r="AS32" s="23">
        <f t="shared" si="186"/>
        <v>4530.54</v>
      </c>
      <c r="AT32" s="23">
        <f t="shared" si="186"/>
        <v>8284.14</v>
      </c>
      <c r="AU32" s="23">
        <f t="shared" si="186"/>
        <v>8159.9399999999987</v>
      </c>
      <c r="AV32" s="23">
        <f t="shared" si="186"/>
        <v>4244.88</v>
      </c>
      <c r="AW32" s="23">
        <f t="shared" si="186"/>
        <v>9150.7799999999988</v>
      </c>
      <c r="AX32" s="23">
        <f t="shared" si="186"/>
        <v>7538.9399999999987</v>
      </c>
      <c r="AY32" s="23">
        <f t="shared" si="186"/>
        <v>5689.74</v>
      </c>
      <c r="AZ32" s="23">
        <f t="shared" si="186"/>
        <v>4744.4399999999996</v>
      </c>
      <c r="BA32" s="23" t="s">
        <v>4</v>
      </c>
      <c r="BB32" s="22">
        <v>0.47</v>
      </c>
      <c r="BC32" s="23">
        <f>0.47*12*BC35</f>
        <v>2857.7879999999996</v>
      </c>
      <c r="BD32" s="23" t="s">
        <v>4</v>
      </c>
      <c r="BE32" s="22">
        <v>0.87</v>
      </c>
      <c r="BF32" s="23">
        <f>0.87*12*BF35</f>
        <v>6913.3680000000004</v>
      </c>
      <c r="BG32" s="23">
        <f t="shared" ref="BG32:BO32" si="187">0.87*12*BG35</f>
        <v>10309.5</v>
      </c>
      <c r="BH32" s="23">
        <f t="shared" si="187"/>
        <v>6099.0479999999998</v>
      </c>
      <c r="BI32" s="23">
        <f t="shared" si="187"/>
        <v>4172.8679999999995</v>
      </c>
      <c r="BJ32" s="23">
        <f t="shared" si="187"/>
        <v>8917.848</v>
      </c>
      <c r="BK32" s="23">
        <f t="shared" si="187"/>
        <v>9048.348</v>
      </c>
      <c r="BL32" s="23">
        <f t="shared" si="187"/>
        <v>6013.44</v>
      </c>
      <c r="BM32" s="23">
        <f t="shared" si="187"/>
        <v>6238.9439999999995</v>
      </c>
      <c r="BN32" s="23">
        <f t="shared" si="187"/>
        <v>6202.4039999999995</v>
      </c>
      <c r="BO32" s="23">
        <f t="shared" si="187"/>
        <v>6227.46</v>
      </c>
      <c r="BP32" s="23" t="s">
        <v>4</v>
      </c>
      <c r="BQ32" s="22">
        <v>0.9</v>
      </c>
      <c r="BR32" s="23">
        <f>0.9*12*BR35</f>
        <v>2817.72</v>
      </c>
      <c r="BS32" s="23">
        <f t="shared" ref="BS32:CF32" si="188">0.9*12*BS35</f>
        <v>5356.8</v>
      </c>
      <c r="BT32" s="23">
        <f t="shared" si="188"/>
        <v>5648.4000000000005</v>
      </c>
      <c r="BU32" s="23">
        <f t="shared" si="188"/>
        <v>5603.04</v>
      </c>
      <c r="BV32" s="23">
        <f t="shared" si="188"/>
        <v>6316.92</v>
      </c>
      <c r="BW32" s="23">
        <f t="shared" si="188"/>
        <v>6289.92</v>
      </c>
      <c r="BX32" s="23">
        <f t="shared" si="188"/>
        <v>3545.6400000000003</v>
      </c>
      <c r="BY32" s="23">
        <f t="shared" si="188"/>
        <v>6483.24</v>
      </c>
      <c r="BZ32" s="23">
        <f t="shared" si="188"/>
        <v>6386.04</v>
      </c>
      <c r="CA32" s="23">
        <f t="shared" si="188"/>
        <v>5578.2000000000007</v>
      </c>
      <c r="CB32" s="23">
        <f t="shared" si="188"/>
        <v>3322.0800000000004</v>
      </c>
      <c r="CC32" s="23">
        <f t="shared" si="188"/>
        <v>7161.4800000000005</v>
      </c>
      <c r="CD32" s="23">
        <f t="shared" si="188"/>
        <v>5900.04</v>
      </c>
      <c r="CE32" s="23">
        <f t="shared" si="188"/>
        <v>4452.84</v>
      </c>
      <c r="CF32" s="23">
        <f t="shared" si="188"/>
        <v>3713.0400000000004</v>
      </c>
      <c r="CG32" s="55"/>
      <c r="CH32" s="55"/>
      <c r="CI32" s="55"/>
      <c r="CJ32" s="55"/>
      <c r="CK32" s="55"/>
      <c r="CL32" s="55"/>
      <c r="CM32" s="22" t="s">
        <v>4</v>
      </c>
      <c r="CN32" s="23"/>
      <c r="CO32" s="23">
        <f>0*12*CO35</f>
        <v>0</v>
      </c>
    </row>
    <row r="33" spans="1:106" s="5" customFormat="1">
      <c r="A33" s="55" t="s">
        <v>51</v>
      </c>
      <c r="B33" s="55"/>
      <c r="C33" s="55"/>
      <c r="D33" s="55"/>
      <c r="E33" s="55"/>
      <c r="F33" s="55"/>
      <c r="G33" s="22" t="s">
        <v>8</v>
      </c>
      <c r="H33" s="23">
        <v>0.71</v>
      </c>
      <c r="I33" s="23">
        <f>0.71*12*I35</f>
        <v>5791.8959999999997</v>
      </c>
      <c r="J33" s="23">
        <f t="shared" ref="J33:AJ33" si="189">0.71*12*J35</f>
        <v>3874.8959999999997</v>
      </c>
      <c r="K33" s="23">
        <f t="shared" si="189"/>
        <v>4548.8279999999995</v>
      </c>
      <c r="L33" s="23">
        <f t="shared" si="189"/>
        <v>4450.848</v>
      </c>
      <c r="M33" s="23">
        <f t="shared" si="189"/>
        <v>2808.192</v>
      </c>
      <c r="N33" s="23">
        <f t="shared" si="189"/>
        <v>6362.735999999999</v>
      </c>
      <c r="O33" s="23">
        <f t="shared" si="189"/>
        <v>2835.4560000000001</v>
      </c>
      <c r="P33" s="23">
        <f t="shared" si="189"/>
        <v>4516.4520000000002</v>
      </c>
      <c r="Q33" s="23">
        <f t="shared" si="189"/>
        <v>9078.06</v>
      </c>
      <c r="R33" s="23">
        <f t="shared" si="189"/>
        <v>5015.7240000000002</v>
      </c>
      <c r="S33" s="23">
        <f t="shared" si="189"/>
        <v>4210.5839999999998</v>
      </c>
      <c r="T33" s="23">
        <f t="shared" si="189"/>
        <v>6312.4679999999998</v>
      </c>
      <c r="U33" s="23">
        <f t="shared" si="189"/>
        <v>5010.6120000000001</v>
      </c>
      <c r="V33" s="23">
        <f t="shared" si="189"/>
        <v>4688.5559999999996</v>
      </c>
      <c r="W33" s="23">
        <f t="shared" si="189"/>
        <v>3324.5039999999999</v>
      </c>
      <c r="X33" s="23">
        <f t="shared" si="189"/>
        <v>3022.8959999999997</v>
      </c>
      <c r="Y33" s="23">
        <f t="shared" si="189"/>
        <v>4676.6279999999997</v>
      </c>
      <c r="Z33" s="23">
        <f t="shared" si="189"/>
        <v>8344.4879999999994</v>
      </c>
      <c r="AA33" s="23">
        <f t="shared" si="189"/>
        <v>6211.9319999999998</v>
      </c>
      <c r="AB33" s="23">
        <f t="shared" si="189"/>
        <v>4031.6639999999998</v>
      </c>
      <c r="AC33" s="23">
        <f t="shared" si="189"/>
        <v>5083.884</v>
      </c>
      <c r="AD33" s="23">
        <f t="shared" si="189"/>
        <v>4916.8919999999998</v>
      </c>
      <c r="AE33" s="23">
        <f t="shared" si="189"/>
        <v>4881.1079999999993</v>
      </c>
      <c r="AF33" s="23">
        <f t="shared" si="189"/>
        <v>3628.6679999999997</v>
      </c>
      <c r="AG33" s="23">
        <f t="shared" si="189"/>
        <v>3603.1079999999997</v>
      </c>
      <c r="AH33" s="23">
        <f t="shared" si="189"/>
        <v>3591.18</v>
      </c>
      <c r="AI33" s="23">
        <f t="shared" si="189"/>
        <v>3582.66</v>
      </c>
      <c r="AJ33" s="23">
        <f t="shared" si="189"/>
        <v>3517.056</v>
      </c>
      <c r="AK33" s="23" t="s">
        <v>8</v>
      </c>
      <c r="AL33" s="22">
        <v>0.45</v>
      </c>
      <c r="AM33" s="23">
        <f>0.45*12*AM35</f>
        <v>1408.86</v>
      </c>
      <c r="AN33" s="23">
        <f t="shared" ref="AN33:AZ33" si="190">0.45*12*AN35</f>
        <v>2678.4</v>
      </c>
      <c r="AO33" s="23">
        <f t="shared" si="190"/>
        <v>2824.2000000000003</v>
      </c>
      <c r="AP33" s="23">
        <f t="shared" si="190"/>
        <v>2801.52</v>
      </c>
      <c r="AQ33" s="23">
        <f t="shared" si="190"/>
        <v>3158.46</v>
      </c>
      <c r="AR33" s="23">
        <f t="shared" si="190"/>
        <v>3144.96</v>
      </c>
      <c r="AS33" s="23">
        <f t="shared" si="190"/>
        <v>1772.8200000000002</v>
      </c>
      <c r="AT33" s="23">
        <f t="shared" si="190"/>
        <v>3241.62</v>
      </c>
      <c r="AU33" s="23">
        <f t="shared" si="190"/>
        <v>3193.02</v>
      </c>
      <c r="AV33" s="23">
        <f t="shared" si="190"/>
        <v>1661.0400000000002</v>
      </c>
      <c r="AW33" s="23">
        <f t="shared" si="190"/>
        <v>3580.7400000000002</v>
      </c>
      <c r="AX33" s="23">
        <f t="shared" si="190"/>
        <v>2950.02</v>
      </c>
      <c r="AY33" s="23">
        <f t="shared" si="190"/>
        <v>2226.42</v>
      </c>
      <c r="AZ33" s="23">
        <f t="shared" si="190"/>
        <v>1856.5200000000002</v>
      </c>
      <c r="BA33" s="23" t="s">
        <v>8</v>
      </c>
      <c r="BB33" s="22">
        <v>0.21</v>
      </c>
      <c r="BC33" s="23">
        <f t="shared" ref="BC33" si="191">0.21*12*BC35</f>
        <v>1276.884</v>
      </c>
      <c r="BD33" s="23" t="s">
        <v>8</v>
      </c>
      <c r="BE33" s="22">
        <v>0.71</v>
      </c>
      <c r="BF33" s="23">
        <f>0.71*12*BF35</f>
        <v>5641.9440000000004</v>
      </c>
      <c r="BG33" s="23">
        <f t="shared" ref="BG33:BO33" si="192">0.71*12*BG35</f>
        <v>8413.5</v>
      </c>
      <c r="BH33" s="23">
        <f t="shared" si="192"/>
        <v>4977.384</v>
      </c>
      <c r="BI33" s="23">
        <f t="shared" si="192"/>
        <v>3405.444</v>
      </c>
      <c r="BJ33" s="23">
        <f t="shared" si="192"/>
        <v>7277.7839999999997</v>
      </c>
      <c r="BK33" s="23">
        <f t="shared" si="192"/>
        <v>7384.2839999999997</v>
      </c>
      <c r="BL33" s="23">
        <f t="shared" si="192"/>
        <v>4907.5199999999995</v>
      </c>
      <c r="BM33" s="23">
        <f t="shared" si="192"/>
        <v>5091.5519999999997</v>
      </c>
      <c r="BN33" s="23">
        <f t="shared" si="192"/>
        <v>5061.732</v>
      </c>
      <c r="BO33" s="23">
        <f t="shared" si="192"/>
        <v>5082.1799999999994</v>
      </c>
      <c r="BP33" s="23" t="s">
        <v>8</v>
      </c>
      <c r="BQ33" s="22">
        <v>0.4</v>
      </c>
      <c r="BR33" s="23">
        <f>0.4*12*BR35</f>
        <v>1252.3200000000002</v>
      </c>
      <c r="BS33" s="23">
        <f t="shared" ref="BS33:CF33" si="193">0.4*12*BS35</f>
        <v>2380.8000000000002</v>
      </c>
      <c r="BT33" s="23">
        <f t="shared" si="193"/>
        <v>2510.4000000000005</v>
      </c>
      <c r="BU33" s="23">
        <f t="shared" si="193"/>
        <v>2490.2400000000002</v>
      </c>
      <c r="BV33" s="23">
        <f t="shared" si="193"/>
        <v>2807.5200000000004</v>
      </c>
      <c r="BW33" s="23">
        <f t="shared" si="193"/>
        <v>2795.5200000000004</v>
      </c>
      <c r="BX33" s="23">
        <f t="shared" si="193"/>
        <v>1575.8400000000004</v>
      </c>
      <c r="BY33" s="23">
        <f t="shared" si="193"/>
        <v>2881.44</v>
      </c>
      <c r="BZ33" s="23">
        <f t="shared" si="193"/>
        <v>2838.2400000000002</v>
      </c>
      <c r="CA33" s="23">
        <f t="shared" si="193"/>
        <v>2479.2000000000003</v>
      </c>
      <c r="CB33" s="23">
        <f t="shared" si="193"/>
        <v>1476.4800000000002</v>
      </c>
      <c r="CC33" s="23">
        <f t="shared" si="193"/>
        <v>3182.8800000000006</v>
      </c>
      <c r="CD33" s="23">
        <f t="shared" si="193"/>
        <v>2622.2400000000002</v>
      </c>
      <c r="CE33" s="23">
        <f t="shared" si="193"/>
        <v>1979.0400000000004</v>
      </c>
      <c r="CF33" s="23">
        <f t="shared" si="193"/>
        <v>1650.2400000000002</v>
      </c>
      <c r="CG33" s="55" t="s">
        <v>220</v>
      </c>
      <c r="CH33" s="55"/>
      <c r="CI33" s="55"/>
      <c r="CJ33" s="55"/>
      <c r="CK33" s="55"/>
      <c r="CL33" s="55"/>
      <c r="CM33" s="22" t="s">
        <v>4</v>
      </c>
      <c r="CN33" s="23">
        <v>0.47</v>
      </c>
      <c r="CO33" s="23">
        <f>0.47*12*CO35</f>
        <v>8778.66</v>
      </c>
    </row>
    <row r="34" spans="1:106" s="5" customFormat="1">
      <c r="A34" s="51" t="s">
        <v>2</v>
      </c>
      <c r="B34" s="51"/>
      <c r="C34" s="51"/>
      <c r="D34" s="51"/>
      <c r="E34" s="51"/>
      <c r="F34" s="51"/>
      <c r="G34" s="30"/>
      <c r="H34" s="31"/>
      <c r="I34" s="31">
        <f>I14+I22+I28</f>
        <v>148876.19999999995</v>
      </c>
      <c r="J34" s="31">
        <f t="shared" ref="J34:M34" si="194">J14+J22+J28</f>
        <v>99601.2</v>
      </c>
      <c r="K34" s="31">
        <f t="shared" si="194"/>
        <v>116924.09999999998</v>
      </c>
      <c r="L34" s="31">
        <f>L14+L22+L28</f>
        <v>114405.59999999998</v>
      </c>
      <c r="M34" s="31">
        <f t="shared" si="194"/>
        <v>72182.400000000009</v>
      </c>
      <c r="N34" s="31">
        <f>N14+N22+N28</f>
        <v>163549.20000000001</v>
      </c>
      <c r="O34" s="31">
        <f t="shared" ref="O34" si="195">O14+O22+O28</f>
        <v>72883.199999999997</v>
      </c>
      <c r="P34" s="31">
        <f>P14+P22+P28</f>
        <v>116091.90000000001</v>
      </c>
      <c r="Q34" s="31">
        <f t="shared" ref="Q34" si="196">Q14+Q22+Q28</f>
        <v>233344.49999999997</v>
      </c>
      <c r="R34" s="31">
        <f>R14+R22+R28</f>
        <v>128925.30000000002</v>
      </c>
      <c r="S34" s="31">
        <f t="shared" ref="S34" si="197">S14+S22+S28</f>
        <v>108229.79999999999</v>
      </c>
      <c r="T34" s="31">
        <f>T14+T22+T28</f>
        <v>162257.09999999998</v>
      </c>
      <c r="U34" s="31">
        <f t="shared" ref="U34" si="198">U14+U22+U28</f>
        <v>128793.9</v>
      </c>
      <c r="V34" s="31">
        <f t="shared" ref="V34:AA34" si="199">V14+V22+V28</f>
        <v>120515.69999999998</v>
      </c>
      <c r="W34" s="31">
        <f t="shared" si="199"/>
        <v>85453.8</v>
      </c>
      <c r="X34" s="31">
        <f t="shared" si="199"/>
        <v>77701.2</v>
      </c>
      <c r="Y34" s="31">
        <f t="shared" si="199"/>
        <v>120209.09999999999</v>
      </c>
      <c r="Z34" s="31">
        <f t="shared" si="199"/>
        <v>214488.59999999998</v>
      </c>
      <c r="AA34" s="31">
        <f t="shared" si="199"/>
        <v>159672.9</v>
      </c>
      <c r="AB34" s="31">
        <f t="shared" ref="AB34:AC34" si="200">AB14+AB22+AB28</f>
        <v>103630.8</v>
      </c>
      <c r="AC34" s="31">
        <f t="shared" si="200"/>
        <v>130677.3</v>
      </c>
      <c r="AD34" s="31">
        <f t="shared" ref="AD34:AG34" si="201">AD14+AD22+AD28</f>
        <v>126384.9</v>
      </c>
      <c r="AE34" s="31">
        <f t="shared" si="201"/>
        <v>125465.09999999998</v>
      </c>
      <c r="AF34" s="31">
        <f t="shared" si="201"/>
        <v>93272.099999999977</v>
      </c>
      <c r="AG34" s="31">
        <f t="shared" si="201"/>
        <v>92615.1</v>
      </c>
      <c r="AH34" s="31">
        <f>AH14+AH22+AH28</f>
        <v>92308.5</v>
      </c>
      <c r="AI34" s="31">
        <f t="shared" ref="AI34" si="202">AI14+AI22+AI28</f>
        <v>92089.499999999985</v>
      </c>
      <c r="AJ34" s="31">
        <f>AJ14+AJ22+AJ28</f>
        <v>90403.199999999997</v>
      </c>
      <c r="AK34" s="32"/>
      <c r="AL34" s="29"/>
      <c r="AM34" s="31">
        <f t="shared" ref="AM34:AN34" si="203">AM14+AM22+AM28</f>
        <v>53567.987999999998</v>
      </c>
      <c r="AN34" s="31">
        <f t="shared" si="203"/>
        <v>101838.72</v>
      </c>
      <c r="AO34" s="31">
        <f>AO14+AO22+AO28</f>
        <v>107382.35999999999</v>
      </c>
      <c r="AP34" s="31">
        <f t="shared" ref="AP34" si="204">AP14+AP22+AP28</f>
        <v>106520.016</v>
      </c>
      <c r="AQ34" s="31">
        <f>AQ14+AQ22+AQ28</f>
        <v>120091.66800000001</v>
      </c>
      <c r="AR34" s="31">
        <f t="shared" ref="AR34:AS34" si="205">AR14+AR22+AR28</f>
        <v>119578.36799999999</v>
      </c>
      <c r="AS34" s="31">
        <f t="shared" si="205"/>
        <v>67406.555999999997</v>
      </c>
      <c r="AT34" s="31">
        <f>AT14+AT22+AT28</f>
        <v>123253.59599999999</v>
      </c>
      <c r="AU34" s="31">
        <f t="shared" ref="AU34" si="206">AU14+AU22+AU28</f>
        <v>121405.71599999999</v>
      </c>
      <c r="AV34" s="31">
        <f t="shared" ref="AV34:AW34" si="207">AV14+AV22+AV28</f>
        <v>63156.432000000008</v>
      </c>
      <c r="AW34" s="31">
        <f t="shared" si="207"/>
        <v>136147.69200000001</v>
      </c>
      <c r="AX34" s="31">
        <f t="shared" ref="AX34" si="208">AX14+AX22+AX28</f>
        <v>112166.31599999999</v>
      </c>
      <c r="AY34" s="31">
        <f t="shared" ref="AY34" si="209">AY14+AY22+AY28</f>
        <v>84653.435999999987</v>
      </c>
      <c r="AZ34" s="31">
        <f>AZ14+AZ22+AZ28</f>
        <v>70589.016000000003</v>
      </c>
      <c r="BA34" s="32"/>
      <c r="BB34" s="29"/>
      <c r="BC34" s="31">
        <f t="shared" ref="BC34:BO34" si="210">BC14+BC22+BC28</f>
        <v>102758.76</v>
      </c>
      <c r="BD34" s="32"/>
      <c r="BE34" s="21"/>
      <c r="BF34" s="31">
        <f t="shared" si="210"/>
        <v>102270.16800000002</v>
      </c>
      <c r="BG34" s="31">
        <f t="shared" si="210"/>
        <v>152509.5</v>
      </c>
      <c r="BH34" s="31">
        <f t="shared" si="210"/>
        <v>90223.847999999998</v>
      </c>
      <c r="BI34" s="31">
        <f t="shared" si="210"/>
        <v>61729.667999999991</v>
      </c>
      <c r="BJ34" s="31">
        <f t="shared" si="210"/>
        <v>131922.64799999999</v>
      </c>
      <c r="BK34" s="31">
        <f t="shared" si="210"/>
        <v>133853.14799999999</v>
      </c>
      <c r="BL34" s="31">
        <f t="shared" si="210"/>
        <v>88957.440000000002</v>
      </c>
      <c r="BM34" s="31">
        <f t="shared" si="210"/>
        <v>92293.343999999997</v>
      </c>
      <c r="BN34" s="31">
        <f t="shared" si="210"/>
        <v>91752.804000000004</v>
      </c>
      <c r="BO34" s="31">
        <f t="shared" si="210"/>
        <v>92123.459999999992</v>
      </c>
      <c r="BP34" s="32"/>
      <c r="BQ34" s="29"/>
      <c r="BR34" s="31">
        <f>BR14+BR22+BR28</f>
        <v>39855.083999999995</v>
      </c>
      <c r="BS34" s="31">
        <f t="shared" ref="BS34:BT34" si="211">BS14+BS22+BS28</f>
        <v>75768.959999999992</v>
      </c>
      <c r="BT34" s="31">
        <f t="shared" si="211"/>
        <v>79893.48000000001</v>
      </c>
      <c r="BU34" s="31">
        <f>BU14+BU22+BU28</f>
        <v>79251.888000000006</v>
      </c>
      <c r="BV34" s="31">
        <f t="shared" ref="BV34" si="212">BV14+BV22+BV28</f>
        <v>89349.324000000008</v>
      </c>
      <c r="BW34" s="31">
        <f>BW14+BW22+BW28</f>
        <v>88967.423999999985</v>
      </c>
      <c r="BX34" s="31">
        <f>BX14+BX22+BX28</f>
        <v>50151.108</v>
      </c>
      <c r="BY34" s="31">
        <f t="shared" ref="BY34" si="213">BY14+BY22+BY28</f>
        <v>91701.828000000009</v>
      </c>
      <c r="BZ34" s="31">
        <f>BZ14+BZ22+BZ28</f>
        <v>90326.987999999983</v>
      </c>
      <c r="CA34" s="31">
        <f t="shared" ref="CA34:CB34" si="214">CA14+CA22+CA28</f>
        <v>78900.540000000008</v>
      </c>
      <c r="CB34" s="31">
        <f t="shared" si="214"/>
        <v>46988.97600000001</v>
      </c>
      <c r="CC34" s="31">
        <f>CC14+CC22+CC28</f>
        <v>101295.156</v>
      </c>
      <c r="CD34" s="31">
        <f>CD14+CD22+CD28</f>
        <v>83452.788</v>
      </c>
      <c r="CE34" s="31">
        <f t="shared" ref="CE34:CF34" si="215">CE14+CE22+CE28</f>
        <v>62982.948000000004</v>
      </c>
      <c r="CF34" s="31">
        <f t="shared" si="215"/>
        <v>52518.887999999999</v>
      </c>
      <c r="CG34" s="51" t="s">
        <v>2</v>
      </c>
      <c r="CH34" s="51"/>
      <c r="CI34" s="51"/>
      <c r="CJ34" s="51"/>
      <c r="CK34" s="51"/>
      <c r="CL34" s="51"/>
      <c r="CM34" s="41"/>
      <c r="CN34" s="28"/>
      <c r="CO34" s="31">
        <f>CO9+CO14+CO22+CO28</f>
        <v>352267.08</v>
      </c>
      <c r="CQ34" s="43">
        <f>SUM(I34:CP34)</f>
        <v>7382777.3279999979</v>
      </c>
      <c r="CR34" s="44">
        <f>CQ34/12*0.05</f>
        <v>30761.572199999991</v>
      </c>
    </row>
    <row r="35" spans="1:106" s="7" customFormat="1">
      <c r="A35" s="51" t="s">
        <v>1</v>
      </c>
      <c r="B35" s="51"/>
      <c r="C35" s="51"/>
      <c r="D35" s="51"/>
      <c r="E35" s="51"/>
      <c r="F35" s="51"/>
      <c r="G35" s="30"/>
      <c r="H35" s="17"/>
      <c r="I35" s="17" t="s">
        <v>146</v>
      </c>
      <c r="J35" s="17" t="s">
        <v>147</v>
      </c>
      <c r="K35" s="17" t="s">
        <v>148</v>
      </c>
      <c r="L35" s="17" t="s">
        <v>149</v>
      </c>
      <c r="M35" s="17" t="s">
        <v>150</v>
      </c>
      <c r="N35" s="17" t="s">
        <v>151</v>
      </c>
      <c r="O35" s="17" t="s">
        <v>152</v>
      </c>
      <c r="P35" s="17" t="s">
        <v>153</v>
      </c>
      <c r="Q35" s="17" t="s">
        <v>154</v>
      </c>
      <c r="R35" s="17" t="s">
        <v>155</v>
      </c>
      <c r="S35" s="17" t="s">
        <v>156</v>
      </c>
      <c r="T35" s="17" t="s">
        <v>157</v>
      </c>
      <c r="U35" s="17" t="s">
        <v>158</v>
      </c>
      <c r="V35" s="17" t="s">
        <v>159</v>
      </c>
      <c r="W35" s="17" t="s">
        <v>160</v>
      </c>
      <c r="X35" s="17" t="s">
        <v>161</v>
      </c>
      <c r="Y35" s="17" t="s">
        <v>162</v>
      </c>
      <c r="Z35" s="17" t="s">
        <v>163</v>
      </c>
      <c r="AA35" s="17" t="s">
        <v>164</v>
      </c>
      <c r="AB35" s="17" t="s">
        <v>165</v>
      </c>
      <c r="AC35" s="17" t="s">
        <v>166</v>
      </c>
      <c r="AD35" s="17" t="s">
        <v>167</v>
      </c>
      <c r="AE35" s="17" t="s">
        <v>168</v>
      </c>
      <c r="AF35" s="17" t="s">
        <v>69</v>
      </c>
      <c r="AG35" s="17" t="s">
        <v>169</v>
      </c>
      <c r="AH35" s="17" t="s">
        <v>61</v>
      </c>
      <c r="AI35" s="17" t="s">
        <v>170</v>
      </c>
      <c r="AJ35" s="17" t="s">
        <v>171</v>
      </c>
      <c r="AK35" s="28"/>
      <c r="AL35" s="30"/>
      <c r="AM35" s="17" t="s">
        <v>172</v>
      </c>
      <c r="AN35" s="17" t="s">
        <v>173</v>
      </c>
      <c r="AO35" s="17" t="s">
        <v>174</v>
      </c>
      <c r="AP35" s="17" t="s">
        <v>175</v>
      </c>
      <c r="AQ35" s="17" t="s">
        <v>176</v>
      </c>
      <c r="AR35" s="17" t="s">
        <v>177</v>
      </c>
      <c r="AS35" s="17" t="s">
        <v>178</v>
      </c>
      <c r="AT35" s="17" t="s">
        <v>179</v>
      </c>
      <c r="AU35" s="17" t="s">
        <v>180</v>
      </c>
      <c r="AV35" s="17" t="s">
        <v>182</v>
      </c>
      <c r="AW35" s="17" t="s">
        <v>183</v>
      </c>
      <c r="AX35" s="17" t="s">
        <v>184</v>
      </c>
      <c r="AY35" s="17" t="s">
        <v>185</v>
      </c>
      <c r="AZ35" s="17" t="s">
        <v>186</v>
      </c>
      <c r="BA35" s="28"/>
      <c r="BB35" s="30"/>
      <c r="BC35" s="33" t="s">
        <v>188</v>
      </c>
      <c r="BD35" s="28"/>
      <c r="BE35" s="34"/>
      <c r="BF35" s="35" t="s">
        <v>189</v>
      </c>
      <c r="BG35" s="35" t="s">
        <v>190</v>
      </c>
      <c r="BH35" s="35" t="s">
        <v>191</v>
      </c>
      <c r="BI35" s="35" t="s">
        <v>192</v>
      </c>
      <c r="BJ35" s="35" t="s">
        <v>193</v>
      </c>
      <c r="BK35" s="35" t="s">
        <v>194</v>
      </c>
      <c r="BL35" s="35" t="s">
        <v>195</v>
      </c>
      <c r="BM35" s="35" t="s">
        <v>196</v>
      </c>
      <c r="BN35" s="35" t="s">
        <v>197</v>
      </c>
      <c r="BO35" s="35" t="s">
        <v>198</v>
      </c>
      <c r="BP35" s="28"/>
      <c r="BQ35" s="30"/>
      <c r="BR35" s="17" t="s">
        <v>172</v>
      </c>
      <c r="BS35" s="17" t="s">
        <v>173</v>
      </c>
      <c r="BT35" s="17" t="s">
        <v>174</v>
      </c>
      <c r="BU35" s="17" t="s">
        <v>175</v>
      </c>
      <c r="BV35" s="17" t="s">
        <v>176</v>
      </c>
      <c r="BW35" s="17" t="s">
        <v>177</v>
      </c>
      <c r="BX35" s="17" t="s">
        <v>178</v>
      </c>
      <c r="BY35" s="17" t="s">
        <v>179</v>
      </c>
      <c r="BZ35" s="17" t="s">
        <v>180</v>
      </c>
      <c r="CA35" s="17" t="s">
        <v>181</v>
      </c>
      <c r="CB35" s="17" t="s">
        <v>182</v>
      </c>
      <c r="CC35" s="17" t="s">
        <v>183</v>
      </c>
      <c r="CD35" s="17" t="s">
        <v>184</v>
      </c>
      <c r="CE35" s="17" t="s">
        <v>185</v>
      </c>
      <c r="CF35" s="17" t="s">
        <v>186</v>
      </c>
      <c r="CG35" s="51" t="s">
        <v>1</v>
      </c>
      <c r="CH35" s="51"/>
      <c r="CI35" s="51"/>
      <c r="CJ35" s="51"/>
      <c r="CK35" s="51"/>
      <c r="CL35" s="51"/>
      <c r="CM35" s="41"/>
      <c r="CN35" s="28"/>
      <c r="CO35" s="33" t="s">
        <v>187</v>
      </c>
    </row>
    <row r="36" spans="1:106" s="15" customFormat="1" ht="25.5" customHeight="1">
      <c r="A36" s="52" t="s">
        <v>49</v>
      </c>
      <c r="B36" s="52"/>
      <c r="C36" s="52"/>
      <c r="D36" s="52"/>
      <c r="E36" s="52"/>
      <c r="F36" s="52"/>
      <c r="G36" s="34"/>
      <c r="H36" s="31">
        <f>H14+H22+H28</f>
        <v>18.249999999999996</v>
      </c>
      <c r="I36" s="31">
        <f>I34 /12/I35</f>
        <v>18.249999999999996</v>
      </c>
      <c r="J36" s="31">
        <f t="shared" ref="J36:M36" si="216">J34 /12/J35</f>
        <v>18.25</v>
      </c>
      <c r="K36" s="31">
        <f t="shared" si="216"/>
        <v>18.249999999999996</v>
      </c>
      <c r="L36" s="31">
        <f>L34 /12/L35</f>
        <v>18.249999999999996</v>
      </c>
      <c r="M36" s="31">
        <f t="shared" si="216"/>
        <v>18.25</v>
      </c>
      <c r="N36" s="31">
        <f>N34 /12/N35</f>
        <v>18.25</v>
      </c>
      <c r="O36" s="31">
        <f t="shared" ref="O36" si="217">O34 /12/O35</f>
        <v>18.249999999999996</v>
      </c>
      <c r="P36" s="31">
        <f>P34 /12/P35</f>
        <v>18.25</v>
      </c>
      <c r="Q36" s="31">
        <f t="shared" ref="Q36" si="218">Q34 /12/Q35</f>
        <v>18.249999999999996</v>
      </c>
      <c r="R36" s="31">
        <f>R34 /12/R35</f>
        <v>18.25</v>
      </c>
      <c r="S36" s="31">
        <f t="shared" ref="S36" si="219">S34 /12/S35</f>
        <v>18.25</v>
      </c>
      <c r="T36" s="31">
        <f>T34 /12/T35</f>
        <v>18.249999999999996</v>
      </c>
      <c r="U36" s="31">
        <f t="shared" ref="U36" si="220">U34 /12/U35</f>
        <v>18.249999999999996</v>
      </c>
      <c r="V36" s="31">
        <f t="shared" ref="V36:AA36" si="221">V34/12/V35</f>
        <v>18.25</v>
      </c>
      <c r="W36" s="31">
        <f t="shared" si="221"/>
        <v>18.250000000000004</v>
      </c>
      <c r="X36" s="31">
        <f t="shared" si="221"/>
        <v>18.249999999999996</v>
      </c>
      <c r="Y36" s="31">
        <f t="shared" si="221"/>
        <v>18.25</v>
      </c>
      <c r="Z36" s="31">
        <f t="shared" si="221"/>
        <v>18.25</v>
      </c>
      <c r="AA36" s="31">
        <f t="shared" si="221"/>
        <v>18.249999999999996</v>
      </c>
      <c r="AB36" s="31">
        <f t="shared" ref="AB36:AC36" si="222">AB34/12/AB35</f>
        <v>18.25</v>
      </c>
      <c r="AC36" s="31">
        <f t="shared" si="222"/>
        <v>18.249999999999996</v>
      </c>
      <c r="AD36" s="31">
        <f t="shared" ref="AD36:AF36" si="223">AD34/12/AD35</f>
        <v>18.249999999999996</v>
      </c>
      <c r="AE36" s="31">
        <f t="shared" si="223"/>
        <v>18.249999999999996</v>
      </c>
      <c r="AF36" s="31">
        <f t="shared" si="223"/>
        <v>18.249999999999996</v>
      </c>
      <c r="AG36" s="31">
        <f t="shared" ref="AG36" si="224">AG34 /12/AG35</f>
        <v>18.25</v>
      </c>
      <c r="AH36" s="31">
        <f>AH34 /12/AH35</f>
        <v>18.25</v>
      </c>
      <c r="AI36" s="31">
        <f t="shared" ref="AI36" si="225">AI34 /12/AI35</f>
        <v>18.249999999999996</v>
      </c>
      <c r="AJ36" s="31">
        <f>AJ34 /12/AJ35</f>
        <v>18.249999999999996</v>
      </c>
      <c r="AK36" s="31"/>
      <c r="AL36" s="34">
        <v>17.11</v>
      </c>
      <c r="AM36" s="31">
        <f t="shared" ref="AM36" si="226">AM34/12/AM35</f>
        <v>17.11</v>
      </c>
      <c r="AN36" s="31">
        <f t="shared" ref="AN36" si="227">AN34 /12/AN35</f>
        <v>17.11</v>
      </c>
      <c r="AO36" s="31">
        <f>AO34 /12/AO35</f>
        <v>17.11</v>
      </c>
      <c r="AP36" s="31">
        <f t="shared" ref="AP36" si="228">AP34 /12/AP35</f>
        <v>17.11</v>
      </c>
      <c r="AQ36" s="31">
        <f>AQ34 /12/AQ35</f>
        <v>17.110000000000003</v>
      </c>
      <c r="AR36" s="31">
        <f t="shared" ref="AR36" si="229">AR34/12/AR35</f>
        <v>17.11</v>
      </c>
      <c r="AS36" s="31">
        <f t="shared" ref="AS36" si="230">AS34 /12/AS35</f>
        <v>17.11</v>
      </c>
      <c r="AT36" s="31">
        <f>AT34 /12/AT35</f>
        <v>17.11</v>
      </c>
      <c r="AU36" s="31">
        <f t="shared" ref="AU36" si="231">AU34 /12/AU35</f>
        <v>17.11</v>
      </c>
      <c r="AV36" s="31">
        <f t="shared" ref="AV36" si="232">AV34/12/AV35</f>
        <v>17.110000000000003</v>
      </c>
      <c r="AW36" s="31">
        <f t="shared" ref="AW36" si="233">AW34 /12/AW35</f>
        <v>17.110000000000003</v>
      </c>
      <c r="AX36" s="31">
        <f t="shared" ref="AX36" si="234">AX34 /12/AX35</f>
        <v>17.11</v>
      </c>
      <c r="AY36" s="31">
        <f t="shared" ref="AY36" si="235">AY34/12/AY35</f>
        <v>17.109999999999996</v>
      </c>
      <c r="AZ36" s="31">
        <f>AZ34 /12/AZ35</f>
        <v>17.11</v>
      </c>
      <c r="BA36" s="31"/>
      <c r="BB36" s="34">
        <v>16.899999999999999</v>
      </c>
      <c r="BC36" s="31">
        <f t="shared" ref="BC36:BO36" si="236">BC34/12/BC35</f>
        <v>16.899999999999999</v>
      </c>
      <c r="BD36" s="31"/>
      <c r="BE36" s="34">
        <v>12.870000000000001</v>
      </c>
      <c r="BF36" s="31">
        <f t="shared" si="236"/>
        <v>12.870000000000001</v>
      </c>
      <c r="BG36" s="31">
        <f t="shared" si="236"/>
        <v>12.87</v>
      </c>
      <c r="BH36" s="31">
        <f t="shared" si="236"/>
        <v>12.869999999999997</v>
      </c>
      <c r="BI36" s="31">
        <f t="shared" si="236"/>
        <v>12.87</v>
      </c>
      <c r="BJ36" s="31">
        <f t="shared" si="236"/>
        <v>12.869999999999997</v>
      </c>
      <c r="BK36" s="31">
        <f t="shared" si="236"/>
        <v>12.869999999999997</v>
      </c>
      <c r="BL36" s="31">
        <f t="shared" si="236"/>
        <v>12.87</v>
      </c>
      <c r="BM36" s="31">
        <f t="shared" si="236"/>
        <v>12.87</v>
      </c>
      <c r="BN36" s="31">
        <f t="shared" si="236"/>
        <v>12.87</v>
      </c>
      <c r="BO36" s="31">
        <f t="shared" si="236"/>
        <v>12.87</v>
      </c>
      <c r="BP36" s="31"/>
      <c r="BQ36" s="34">
        <v>12.73</v>
      </c>
      <c r="BR36" s="31">
        <f>BR34 /12/BR35</f>
        <v>12.73</v>
      </c>
      <c r="BS36" s="31">
        <f t="shared" ref="BS36" si="237">BS34/12/BS35</f>
        <v>12.729999999999999</v>
      </c>
      <c r="BT36" s="31">
        <f t="shared" ref="BT36" si="238">BT34 /12/BT35</f>
        <v>12.730000000000002</v>
      </c>
      <c r="BU36" s="31">
        <f>BU34 /12/BU35</f>
        <v>12.730000000000002</v>
      </c>
      <c r="BV36" s="31">
        <f t="shared" ref="BV36" si="239">BV34 /12/BV35</f>
        <v>12.730000000000002</v>
      </c>
      <c r="BW36" s="31">
        <f>BW34 /12/BW35</f>
        <v>12.729999999999997</v>
      </c>
      <c r="BX36" s="31">
        <f>BX34 /12/BX35</f>
        <v>12.73</v>
      </c>
      <c r="BY36" s="31">
        <f t="shared" ref="BY36" si="240">BY34 /12/BY35</f>
        <v>12.730000000000002</v>
      </c>
      <c r="BZ36" s="31">
        <f>BZ34 /12/BZ35</f>
        <v>12.729999999999999</v>
      </c>
      <c r="CA36" s="31">
        <f t="shared" ref="CA36" si="241">CA34/12/CA35</f>
        <v>12.730000000000002</v>
      </c>
      <c r="CB36" s="31">
        <f t="shared" ref="CB36" si="242">CB34 /12/CB35</f>
        <v>12.730000000000002</v>
      </c>
      <c r="CC36" s="31">
        <f>CC34 /12/CC35</f>
        <v>12.73</v>
      </c>
      <c r="CD36" s="31">
        <f>CD34 /12/CD35</f>
        <v>12.730000000000002</v>
      </c>
      <c r="CE36" s="31">
        <f t="shared" ref="CE36:CF36" si="243">CE34 /12/CE35</f>
        <v>12.73</v>
      </c>
      <c r="CF36" s="31">
        <f t="shared" si="243"/>
        <v>12.729999999999999</v>
      </c>
      <c r="CG36" s="52" t="s">
        <v>49</v>
      </c>
      <c r="CH36" s="52"/>
      <c r="CI36" s="52"/>
      <c r="CJ36" s="52"/>
      <c r="CK36" s="52"/>
      <c r="CL36" s="52"/>
      <c r="CM36" s="42"/>
      <c r="CN36" s="31">
        <v>18.86</v>
      </c>
      <c r="CO36" s="31">
        <f t="shared" ref="CO36" si="244">CO34/12/CO35</f>
        <v>18.86</v>
      </c>
    </row>
    <row r="37" spans="1:106" s="5" customFormat="1" ht="12.75" customHeight="1"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7"/>
      <c r="AB37" s="13"/>
      <c r="AC37" s="7"/>
      <c r="AD37" s="13"/>
      <c r="AE37" s="13"/>
      <c r="AF37" s="7"/>
      <c r="AG37" s="13"/>
      <c r="AH37" s="13"/>
      <c r="AI37" s="13"/>
      <c r="AJ37" s="13"/>
      <c r="AL37" s="13"/>
      <c r="AM37" s="7"/>
      <c r="AN37" s="13"/>
      <c r="AO37" s="13"/>
      <c r="AP37" s="13"/>
      <c r="AQ37" s="13"/>
      <c r="AR37" s="7"/>
      <c r="AS37" s="13"/>
      <c r="AT37" s="13"/>
      <c r="AU37" s="13"/>
      <c r="AV37" s="7"/>
      <c r="AW37" s="13"/>
      <c r="AX37" s="13"/>
      <c r="AY37" s="7"/>
      <c r="AZ37" s="13"/>
      <c r="BB37" s="7"/>
      <c r="BC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Q37" s="7"/>
      <c r="BR37" s="13"/>
      <c r="BS37" s="7"/>
      <c r="BT37" s="13"/>
      <c r="BU37" s="13"/>
      <c r="BV37" s="13"/>
      <c r="BW37" s="13"/>
      <c r="BX37" s="13"/>
      <c r="BY37" s="13"/>
      <c r="BZ37" s="13"/>
      <c r="CA37" s="7"/>
      <c r="CB37" s="13"/>
      <c r="CC37" s="13"/>
      <c r="CD37" s="13"/>
      <c r="CE37" s="13"/>
      <c r="CF37" s="13"/>
      <c r="CN37" s="7"/>
      <c r="CO37" s="7"/>
    </row>
    <row r="38" spans="1:106" s="5" customFormat="1" ht="12.75" hidden="1" customHeight="1"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7"/>
      <c r="AB38" s="13"/>
      <c r="AC38" s="7"/>
      <c r="AD38" s="13"/>
      <c r="AE38" s="13"/>
      <c r="AF38" s="7"/>
      <c r="AG38" s="13"/>
      <c r="AH38" s="13"/>
      <c r="AI38" s="13"/>
      <c r="AJ38" s="13"/>
      <c r="AL38" s="13"/>
      <c r="AM38" s="7"/>
      <c r="AN38" s="13"/>
      <c r="AO38" s="13"/>
      <c r="AP38" s="13"/>
      <c r="AQ38" s="13"/>
      <c r="AR38" s="7"/>
      <c r="AS38" s="13"/>
      <c r="AT38" s="13"/>
      <c r="AU38" s="13"/>
      <c r="AV38" s="7"/>
      <c r="AW38" s="13"/>
      <c r="AX38" s="13"/>
      <c r="AY38" s="7"/>
      <c r="AZ38" s="13"/>
      <c r="BB38" s="7"/>
      <c r="BC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Q38" s="7"/>
      <c r="BR38" s="13"/>
      <c r="BS38" s="7"/>
      <c r="BT38" s="13"/>
      <c r="BU38" s="13"/>
      <c r="BV38" s="13"/>
      <c r="BW38" s="13"/>
      <c r="BX38" s="13"/>
      <c r="BY38" s="13"/>
      <c r="BZ38" s="13"/>
      <c r="CA38" s="7"/>
      <c r="CB38" s="13"/>
      <c r="CC38" s="13"/>
      <c r="CD38" s="13"/>
      <c r="CE38" s="13"/>
      <c r="CF38" s="13"/>
      <c r="CN38" s="7"/>
      <c r="CO38" s="7"/>
    </row>
    <row r="39" spans="1:106" s="5" customFormat="1"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B39" s="13"/>
      <c r="AD39" s="13"/>
      <c r="AE39" s="13"/>
      <c r="AG39" s="13"/>
      <c r="AH39" s="13"/>
      <c r="AI39" s="13"/>
      <c r="AJ39" s="13"/>
      <c r="AL39" s="13"/>
      <c r="AN39" s="13"/>
      <c r="AO39" s="13"/>
      <c r="AP39" s="13"/>
      <c r="AQ39" s="13"/>
      <c r="AS39" s="13"/>
      <c r="AT39" s="13"/>
      <c r="AU39" s="13"/>
      <c r="AW39" s="13"/>
      <c r="AX39" s="13"/>
      <c r="AZ39" s="13"/>
      <c r="BR39" s="13"/>
      <c r="BT39" s="13"/>
      <c r="BU39" s="13"/>
      <c r="BV39" s="13"/>
      <c r="BW39" s="13"/>
      <c r="BX39" s="13"/>
      <c r="BY39" s="13"/>
      <c r="BZ39" s="13"/>
      <c r="CB39" s="13"/>
      <c r="CC39" s="13"/>
      <c r="CD39" s="13"/>
      <c r="CE39" s="13"/>
      <c r="CF39" s="13"/>
      <c r="DA39" s="16"/>
      <c r="DB39" s="16"/>
    </row>
    <row r="40" spans="1:106" s="5" customFormat="1"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B40" s="13"/>
      <c r="AD40" s="13"/>
      <c r="AE40" s="13"/>
      <c r="AG40" s="13"/>
      <c r="AH40" s="13"/>
      <c r="AI40" s="13"/>
      <c r="AJ40" s="13"/>
      <c r="AL40" s="13"/>
      <c r="AN40" s="13"/>
      <c r="AO40" s="13"/>
      <c r="AP40" s="13"/>
      <c r="AQ40" s="13"/>
      <c r="AS40" s="13"/>
      <c r="AT40" s="13"/>
      <c r="AU40" s="13"/>
      <c r="AW40" s="13"/>
      <c r="AX40" s="13"/>
      <c r="AZ40" s="13"/>
      <c r="BR40" s="13"/>
      <c r="BT40" s="13"/>
      <c r="BU40" s="13"/>
      <c r="BV40" s="13"/>
      <c r="BW40" s="13"/>
      <c r="BX40" s="13"/>
      <c r="BY40" s="13"/>
      <c r="BZ40" s="13"/>
      <c r="CB40" s="13"/>
      <c r="CC40" s="13"/>
      <c r="CD40" s="13"/>
      <c r="CE40" s="13"/>
      <c r="CF40" s="13"/>
      <c r="DA40" s="16"/>
      <c r="DB40" s="16"/>
    </row>
    <row r="41" spans="1:106" s="1" customFormat="1">
      <c r="A41" s="5" t="s">
        <v>0</v>
      </c>
      <c r="B41" s="5">
        <v>12</v>
      </c>
      <c r="C41" s="5"/>
      <c r="D41" s="5"/>
      <c r="E41" s="5"/>
      <c r="F41" s="5"/>
      <c r="G41" s="5"/>
      <c r="H41" s="6"/>
      <c r="I41" s="6"/>
      <c r="J41" s="6"/>
      <c r="K41" s="6"/>
      <c r="L41" s="8"/>
      <c r="M41" s="6"/>
      <c r="N41" s="8"/>
      <c r="O41" s="8"/>
      <c r="P41" s="8"/>
      <c r="Q41" s="8"/>
      <c r="R41" s="8"/>
      <c r="S41" s="8"/>
      <c r="T41" s="8"/>
      <c r="U41" s="8"/>
      <c r="V41" s="6"/>
      <c r="W41" s="6"/>
      <c r="X41" s="6"/>
      <c r="Y41" s="6"/>
      <c r="Z41" s="6"/>
      <c r="AA41" s="5"/>
      <c r="AB41" s="8"/>
      <c r="AC41" s="5"/>
      <c r="AD41" s="8"/>
      <c r="AE41" s="8"/>
      <c r="AF41" s="5"/>
      <c r="AG41" s="8"/>
      <c r="AH41" s="8"/>
      <c r="AI41" s="8"/>
      <c r="AJ41" s="8"/>
      <c r="AK41" s="5"/>
      <c r="AL41" s="10"/>
      <c r="AM41" s="5"/>
      <c r="AN41" s="11"/>
      <c r="AO41" s="11"/>
      <c r="AP41" s="11"/>
      <c r="AQ41" s="11"/>
      <c r="AR41" s="5"/>
      <c r="AS41" s="11"/>
      <c r="AT41" s="11"/>
      <c r="AU41" s="11"/>
      <c r="AV41" s="5"/>
      <c r="AW41" s="11"/>
      <c r="AX41" s="11"/>
      <c r="AY41" s="5"/>
      <c r="AZ41" s="11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12"/>
      <c r="BS41" s="5"/>
      <c r="BT41" s="12"/>
      <c r="BU41" s="12"/>
      <c r="BV41" s="12"/>
      <c r="BW41" s="12"/>
      <c r="BX41" s="12"/>
      <c r="BY41" s="12"/>
      <c r="BZ41" s="12"/>
      <c r="CA41" s="5"/>
      <c r="CB41" s="12"/>
      <c r="CC41" s="12"/>
      <c r="CD41" s="12"/>
      <c r="CE41" s="12"/>
      <c r="CF41" s="12"/>
      <c r="CG41" s="5" t="s">
        <v>0</v>
      </c>
      <c r="CH41" s="5">
        <v>12</v>
      </c>
      <c r="CI41" s="5"/>
      <c r="CJ41" s="5"/>
      <c r="CK41" s="5"/>
      <c r="CL41" s="5"/>
      <c r="CM41" s="5"/>
      <c r="CN41" s="5"/>
      <c r="CO41" s="5"/>
    </row>
    <row r="42" spans="1:106" s="1" customFormat="1">
      <c r="A42" s="5"/>
      <c r="B42" s="5"/>
      <c r="C42" s="5"/>
      <c r="D42" s="5"/>
      <c r="E42" s="5"/>
      <c r="F42" s="5"/>
      <c r="G42" s="5"/>
      <c r="H42" s="6"/>
      <c r="I42" s="6"/>
      <c r="J42" s="6"/>
      <c r="K42" s="6"/>
      <c r="L42" s="8"/>
      <c r="M42" s="6"/>
      <c r="N42" s="8"/>
      <c r="O42" s="8"/>
      <c r="P42" s="8"/>
      <c r="Q42" s="8"/>
      <c r="R42" s="8"/>
      <c r="S42" s="8"/>
      <c r="T42" s="8"/>
      <c r="U42" s="8"/>
      <c r="V42" s="6"/>
      <c r="W42" s="6"/>
      <c r="X42" s="6"/>
      <c r="Y42" s="6"/>
      <c r="Z42" s="6"/>
      <c r="AA42" s="5"/>
      <c r="AB42" s="8"/>
      <c r="AC42" s="5"/>
      <c r="AD42" s="8"/>
      <c r="AE42" s="8"/>
      <c r="AF42" s="5"/>
      <c r="AG42" s="8"/>
      <c r="AH42" s="8"/>
      <c r="AI42" s="8"/>
      <c r="AJ42" s="8"/>
      <c r="AK42" s="5"/>
      <c r="AL42" s="10"/>
      <c r="AM42" s="5"/>
      <c r="AN42" s="11"/>
      <c r="AO42" s="11"/>
      <c r="AP42" s="11"/>
      <c r="AQ42" s="11"/>
      <c r="AR42" s="5"/>
      <c r="AS42" s="11"/>
      <c r="AT42" s="11"/>
      <c r="AU42" s="11"/>
      <c r="AV42" s="5"/>
      <c r="AW42" s="11"/>
      <c r="AX42" s="11"/>
      <c r="AY42" s="5"/>
      <c r="AZ42" s="11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12"/>
      <c r="BS42" s="5"/>
      <c r="BT42" s="12"/>
      <c r="BU42" s="12"/>
      <c r="BV42" s="12"/>
      <c r="BW42" s="12"/>
      <c r="BX42" s="12"/>
      <c r="BY42" s="12"/>
      <c r="BZ42" s="12"/>
      <c r="CA42" s="5"/>
      <c r="CB42" s="12"/>
      <c r="CC42" s="12"/>
      <c r="CD42" s="12"/>
      <c r="CE42" s="12"/>
      <c r="CF42" s="12"/>
      <c r="CG42" s="5"/>
      <c r="CH42" s="5"/>
      <c r="CI42" s="5"/>
      <c r="CJ42" s="5"/>
      <c r="CK42" s="5"/>
      <c r="CL42" s="5"/>
      <c r="CM42" s="5"/>
      <c r="CN42" s="5"/>
      <c r="CO42" s="5"/>
      <c r="DA42"/>
      <c r="DB42"/>
    </row>
  </sheetData>
  <mergeCells count="79">
    <mergeCell ref="CG34:CL34"/>
    <mergeCell ref="CG35:CL35"/>
    <mergeCell ref="CG36:CL36"/>
    <mergeCell ref="CN7:CN8"/>
    <mergeCell ref="CM6:CO6"/>
    <mergeCell ref="CG29:CL29"/>
    <mergeCell ref="CG30:CL30"/>
    <mergeCell ref="CG31:CL31"/>
    <mergeCell ref="CG32:CL32"/>
    <mergeCell ref="CG33:CL33"/>
    <mergeCell ref="CG24:CL24"/>
    <mergeCell ref="CG25:CL25"/>
    <mergeCell ref="CG26:CL26"/>
    <mergeCell ref="CG27:CL27"/>
    <mergeCell ref="CG28:CL28"/>
    <mergeCell ref="CG19:CL19"/>
    <mergeCell ref="CG20:CL20"/>
    <mergeCell ref="CG21:CL21"/>
    <mergeCell ref="CG22:CL22"/>
    <mergeCell ref="CG23:CL23"/>
    <mergeCell ref="CG14:CL14"/>
    <mergeCell ref="CG15:CL15"/>
    <mergeCell ref="CG16:CL16"/>
    <mergeCell ref="CG17:CL17"/>
    <mergeCell ref="CG18:CL18"/>
    <mergeCell ref="CG9:CL9"/>
    <mergeCell ref="CG10:CL10"/>
    <mergeCell ref="CG11:CL11"/>
    <mergeCell ref="CG12:CL12"/>
    <mergeCell ref="CG13:CL13"/>
    <mergeCell ref="CG1:CM1"/>
    <mergeCell ref="CG2:CM2"/>
    <mergeCell ref="CG3:CM3"/>
    <mergeCell ref="CG4:CM4"/>
    <mergeCell ref="CG6:CL8"/>
    <mergeCell ref="CM7:CM8"/>
    <mergeCell ref="A6:F8"/>
    <mergeCell ref="G7:G8"/>
    <mergeCell ref="A20:F20"/>
    <mergeCell ref="A21:F21"/>
    <mergeCell ref="A22:F22"/>
    <mergeCell ref="A15:F15"/>
    <mergeCell ref="A9:F9"/>
    <mergeCell ref="A10:F10"/>
    <mergeCell ref="A11:F11"/>
    <mergeCell ref="A12:F12"/>
    <mergeCell ref="A13:F13"/>
    <mergeCell ref="A14:F14"/>
    <mergeCell ref="A27:F27"/>
    <mergeCell ref="A24:F24"/>
    <mergeCell ref="A16:F16"/>
    <mergeCell ref="A17:F17"/>
    <mergeCell ref="A18:F18"/>
    <mergeCell ref="A19:F19"/>
    <mergeCell ref="A26:F26"/>
    <mergeCell ref="A23:F23"/>
    <mergeCell ref="A25:F25"/>
    <mergeCell ref="A34:F34"/>
    <mergeCell ref="A35:F35"/>
    <mergeCell ref="A36:F36"/>
    <mergeCell ref="A28:F28"/>
    <mergeCell ref="A29:F29"/>
    <mergeCell ref="A30:F30"/>
    <mergeCell ref="A33:F33"/>
    <mergeCell ref="A31:F31"/>
    <mergeCell ref="A32:F32"/>
    <mergeCell ref="AK7:AK8"/>
    <mergeCell ref="BQ7:BQ8"/>
    <mergeCell ref="BP7:BP8"/>
    <mergeCell ref="G6:AJ6"/>
    <mergeCell ref="AK6:AZ6"/>
    <mergeCell ref="BP6:CF6"/>
    <mergeCell ref="BA7:BA8"/>
    <mergeCell ref="BB7:BB8"/>
    <mergeCell ref="H7:H8"/>
    <mergeCell ref="BE7:BE8"/>
    <mergeCell ref="BD7:BD8"/>
    <mergeCell ref="AL7:AL8"/>
    <mergeCell ref="BA6:BJ6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2015-10-13T13:38:39Z</cp:lastPrinted>
  <dcterms:created xsi:type="dcterms:W3CDTF">2013-04-24T10:34:01Z</dcterms:created>
  <dcterms:modified xsi:type="dcterms:W3CDTF">2015-10-13T13:41:25Z</dcterms:modified>
</cp:coreProperties>
</file>